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9450" windowHeight="6030" tabRatio="601" firstSheet="3" activeTab="5"/>
  </bookViews>
  <sheets>
    <sheet name="gem" sheetId="1" state="hidden" r:id="rId1"/>
    <sheet name="seal-mfg" sheetId="2" state="hidden" r:id="rId2"/>
    <sheet name="seal-ppty" sheetId="3" state="hidden" r:id="rId3"/>
    <sheet name="income" sheetId="4" r:id="rId4"/>
    <sheet name="b-sheet" sheetId="5" r:id="rId5"/>
    <sheet name="notes" sheetId="6" r:id="rId6"/>
  </sheets>
  <definedNames>
    <definedName name="a">'seal-mfg'!$P$11</definedName>
    <definedName name="_xlnm.Print_Area" localSheetId="4">'b-sheet'!$A$1:$C$63</definedName>
    <definedName name="_xlnm.Print_Area" localSheetId="0">'gem'!$K$1:$N$37</definedName>
    <definedName name="_xlnm.Print_Area" localSheetId="3">'income'!$A$1:$H$75</definedName>
    <definedName name="_xlnm.Print_Area" localSheetId="5">'notes'!$A$1:$I$208</definedName>
    <definedName name="_xlnm.Print_Area" localSheetId="1">'seal-mfg'!$A$142:$D$167</definedName>
    <definedName name="_xlnm.Print_Area" localSheetId="2">'seal-ppty'!$A$58:$D$87</definedName>
  </definedNames>
  <calcPr fullCalcOnLoad="1"/>
</workbook>
</file>

<file path=xl/sharedStrings.xml><?xml version="1.0" encoding="utf-8"?>
<sst xmlns="http://schemas.openxmlformats.org/spreadsheetml/2006/main" count="778" uniqueCount="426">
  <si>
    <t xml:space="preserve">GREAT EASTERN MILLS BHD </t>
  </si>
  <si>
    <t xml:space="preserve">UNAUDITED CONSOLIDATED BALANCE SHEET </t>
  </si>
  <si>
    <t>Group</t>
  </si>
  <si>
    <t>GEM</t>
  </si>
  <si>
    <t>KLP</t>
  </si>
  <si>
    <t>GMB</t>
  </si>
  <si>
    <t>Total</t>
  </si>
  <si>
    <t>Debit</t>
  </si>
  <si>
    <t>Credit</t>
  </si>
  <si>
    <t>B/S</t>
  </si>
  <si>
    <t>RM</t>
  </si>
  <si>
    <t>MINORITY INTERESTS</t>
  </si>
  <si>
    <t xml:space="preserve">   Trade debtors</t>
  </si>
  <si>
    <t xml:space="preserve">   Other debtors &amp; prepayments</t>
  </si>
  <si>
    <t>CURRENT LIABILITIES</t>
  </si>
  <si>
    <t xml:space="preserve">   Trade creditors</t>
  </si>
  <si>
    <t xml:space="preserve">   Taxation</t>
  </si>
  <si>
    <t xml:space="preserve">   Dividend payable</t>
  </si>
  <si>
    <t>GREAT EASTERN MILLS BERHAD</t>
  </si>
  <si>
    <t>UNAUDITED CONSOLIDATED PROFIT &amp; LOSS ACCOUNT</t>
  </si>
  <si>
    <t>P/L</t>
  </si>
  <si>
    <t>TURNOVER</t>
  </si>
  <si>
    <t>OPERATING PROFTI/(LOSS)</t>
  </si>
  <si>
    <t>TAXATION</t>
  </si>
  <si>
    <t>PROFIT/(LOSS) AFTER TAXATION</t>
  </si>
  <si>
    <t>PROFIT/(LOSS) FOR THE YEAR</t>
  </si>
  <si>
    <t>EXTRAORDINARY ITEMS</t>
  </si>
  <si>
    <t>PROFIT/(LOSS) AFTER EXTRAORDINARY ITEMS</t>
  </si>
  <si>
    <t>PROFIT AVAILABLE FOR APPROPRIATION</t>
  </si>
  <si>
    <t>TRANSFER FROM/(TO) RESERVE</t>
  </si>
  <si>
    <t>RETAINED PROFIT/(LOSS) c/fwd</t>
  </si>
  <si>
    <t>SEAL INCORPORATED BERHAD</t>
  </si>
  <si>
    <t>UNAUDITED CONSOLIDATED BALANCE  SHEET</t>
  </si>
  <si>
    <t>Consol</t>
  </si>
  <si>
    <t>SEAL</t>
  </si>
  <si>
    <t>SAM KOH</t>
  </si>
  <si>
    <t>SEAL BOARD</t>
  </si>
  <si>
    <t>MAYNAH</t>
  </si>
  <si>
    <t>Share capital</t>
  </si>
  <si>
    <t xml:space="preserve">  Subsidiary company</t>
  </si>
  <si>
    <t>Being elimination of shareholding in Maynah by Seal Trading</t>
  </si>
  <si>
    <t>Goodwill on consolidation</t>
  </si>
  <si>
    <t xml:space="preserve">  Retained profit</t>
  </si>
  <si>
    <t xml:space="preserve">Being goodwill arising on consolidation through acquisition of </t>
  </si>
  <si>
    <t>Maynah by Seal Trading</t>
  </si>
  <si>
    <t>Goodwill on consolidation-SK</t>
  </si>
  <si>
    <t>CURRENT ASSETS</t>
  </si>
  <si>
    <t xml:space="preserve">   Subsidiary companies</t>
  </si>
  <si>
    <t xml:space="preserve">   Retained profit-Provision for diminution in value of investment</t>
  </si>
  <si>
    <t xml:space="preserve">   Other creditors &amp; accrued liabilities</t>
  </si>
  <si>
    <t>Retained profit</t>
  </si>
  <si>
    <t xml:space="preserve">   Bank overdrafts</t>
  </si>
  <si>
    <t>UNAUDITED PROFIT &amp; LOSS ACCOUNT</t>
  </si>
  <si>
    <t>OPERATING PROFIT/(LOSS)</t>
  </si>
  <si>
    <t>RETAINED PROFTI/(LOSS) b/fwd</t>
  </si>
  <si>
    <t>DEPRECIATION</t>
  </si>
  <si>
    <t>INTEREST ON BORROWINGS</t>
  </si>
  <si>
    <t>Interest on overdraft</t>
  </si>
  <si>
    <t>Interest on hire purchase</t>
  </si>
  <si>
    <t>Interest on bill-export</t>
  </si>
  <si>
    <t>Interest on bill-inland</t>
  </si>
  <si>
    <t>Interest on loan</t>
  </si>
  <si>
    <t>Interest on overdue a/c</t>
  </si>
  <si>
    <t>Less: Other income to related companies</t>
  </si>
  <si>
    <t>SEAL &amp; ITS SUBSIDIARIES</t>
  </si>
  <si>
    <t xml:space="preserve">  Sales of container floor-Seal to Gem</t>
  </si>
  <si>
    <t xml:space="preserve">  Sales of veneer-Gem to Seal</t>
  </si>
  <si>
    <t xml:space="preserve">  Sales of plywood-Gem to Seal</t>
  </si>
  <si>
    <t>MFG</t>
  </si>
  <si>
    <t>PROPERTY</t>
  </si>
  <si>
    <t>DIV</t>
  </si>
  <si>
    <t xml:space="preserve">MFG </t>
  </si>
  <si>
    <t>SEAL INCORPORATED BERHAD (4887-M)</t>
  </si>
  <si>
    <t>The figures have not been audited.</t>
  </si>
  <si>
    <t>CONSOLIDATED INCOME STATEMENT</t>
  </si>
  <si>
    <t>CURRENT</t>
  </si>
  <si>
    <t>YEAR</t>
  </si>
  <si>
    <t>CORRESPONDING</t>
  </si>
  <si>
    <t>QUARTER</t>
  </si>
  <si>
    <t>TODATE</t>
  </si>
  <si>
    <t>PERIOD</t>
  </si>
  <si>
    <t>RM' 000</t>
  </si>
  <si>
    <t>(a)</t>
  </si>
  <si>
    <t>Turnover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</si>
  <si>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</si>
  <si>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</si>
  <si>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</si>
  <si>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</si>
  <si>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</si>
  <si>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</si>
  <si>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</si>
  <si>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and extraordinary items</t>
  </si>
  <si>
    <t>(f)</t>
  </si>
  <si>
    <t>(g)</t>
  </si>
  <si>
    <t>(h)</t>
  </si>
  <si>
    <t>Taxation</t>
  </si>
  <si>
    <t>(i)</t>
  </si>
  <si>
    <t>(ii)</t>
  </si>
  <si>
    <t>(j)</t>
  </si>
  <si>
    <t>(k)</t>
  </si>
  <si>
    <t>Extraordinary items</t>
  </si>
  <si>
    <t>(iii)</t>
  </si>
  <si>
    <t>(l)</t>
  </si>
  <si>
    <t>deducting any provision for preference dividends,</t>
  </si>
  <si>
    <t>Dividend per share (sen)</t>
  </si>
  <si>
    <t>Net Tangible Assets per share (RM)</t>
  </si>
  <si>
    <t>CONSOLIDATED BALANCE SHEET</t>
  </si>
  <si>
    <t xml:space="preserve">AS AT </t>
  </si>
  <si>
    <t>END OF</t>
  </si>
  <si>
    <t>SEAL INCORPORATED BERHAD AND ITS SUBSIDIARY COMPANIES</t>
  </si>
  <si>
    <t xml:space="preserve">QUARTERLY REPORT ON CONSOLIDATED RESULTS FOR THE FINANCIAL QUARTER </t>
  </si>
  <si>
    <t>Notes</t>
  </si>
  <si>
    <t>Accounting Policies</t>
  </si>
  <si>
    <t>Exceptional Items</t>
  </si>
  <si>
    <t>Deferred Tax &amp; Prior Years Tax Changes</t>
  </si>
  <si>
    <t>Purchases And Sales of Quoted Securities</t>
  </si>
  <si>
    <t>i)</t>
  </si>
  <si>
    <t>Cost</t>
  </si>
  <si>
    <t>ii)</t>
  </si>
  <si>
    <t>Book value</t>
  </si>
  <si>
    <t>iii)</t>
  </si>
  <si>
    <t>Market value</t>
  </si>
  <si>
    <t>Effect Of Changes In The Composition Of The Group</t>
  </si>
  <si>
    <t>Corporate Proposals</t>
  </si>
  <si>
    <t>None.</t>
  </si>
  <si>
    <t>Group Borrowings</t>
  </si>
  <si>
    <t>Group Borrowings as at the end of the reporting period are as follows:</t>
  </si>
  <si>
    <t>Unsecured</t>
  </si>
  <si>
    <t>Secured</t>
  </si>
  <si>
    <t>Bank Overdrafts</t>
  </si>
  <si>
    <t>Short Term Borrowings</t>
  </si>
  <si>
    <t>Contingent Liabilities</t>
  </si>
  <si>
    <t>Details Of Financial Instruments With Off Balance Sheet Risk</t>
  </si>
  <si>
    <t>There were no financial instruments with off balance sheet risk for the Group.</t>
  </si>
  <si>
    <t>Material Litigation</t>
  </si>
  <si>
    <t>Segment Reporting - Group</t>
  </si>
  <si>
    <t>Profit/</t>
  </si>
  <si>
    <t>(Loss)</t>
  </si>
  <si>
    <t xml:space="preserve">Before </t>
  </si>
  <si>
    <t>Assets</t>
  </si>
  <si>
    <t>Investment properties</t>
  </si>
  <si>
    <t>Plywood manufacturing</t>
  </si>
  <si>
    <t>Property Development</t>
  </si>
  <si>
    <t>Review Of Performance Of The Company And Its Principal Subsidiaries</t>
  </si>
  <si>
    <t>Variance Of Actual Profit From Forecast Profit.</t>
  </si>
  <si>
    <t>Dividend</t>
  </si>
  <si>
    <t>NON-CURRENT ASSETS</t>
  </si>
  <si>
    <t xml:space="preserve">   Property, plant and equipment</t>
  </si>
  <si>
    <t xml:space="preserve">   Investment properties</t>
  </si>
  <si>
    <t xml:space="preserve">   Investment in subsidiary companies</t>
  </si>
  <si>
    <t xml:space="preserve">   Deferred expenditure</t>
  </si>
  <si>
    <t xml:space="preserve">   Other investments</t>
  </si>
  <si>
    <t xml:space="preserve">   Inventories</t>
  </si>
  <si>
    <t xml:space="preserve">   Borrowings</t>
  </si>
  <si>
    <t>NON-CURRENT LIABILITIES</t>
  </si>
  <si>
    <t>Financed by:</t>
  </si>
  <si>
    <t xml:space="preserve">   Reserves</t>
  </si>
  <si>
    <t xml:space="preserve">   Accumulated losses</t>
  </si>
  <si>
    <t xml:space="preserve">   Development properties &amp; expenditure</t>
  </si>
  <si>
    <t xml:space="preserve">   Deposits, bank and cash balances</t>
  </si>
  <si>
    <t xml:space="preserve">   Provisions for liabilities &amp; charges</t>
  </si>
  <si>
    <t xml:space="preserve">   Amount owing to subsidiary companies</t>
  </si>
  <si>
    <t>CAPITAL &amp; RESERVES</t>
  </si>
  <si>
    <t xml:space="preserve">   Share capital</t>
  </si>
  <si>
    <t xml:space="preserve">   Share premium</t>
  </si>
  <si>
    <t xml:space="preserve">   Amount owing by holding company</t>
  </si>
  <si>
    <t xml:space="preserve">   Amount owing by subsidiary company</t>
  </si>
  <si>
    <t xml:space="preserve">   Amount owing by related companies</t>
  </si>
  <si>
    <t xml:space="preserve">   Amount owing to related companies</t>
  </si>
  <si>
    <t xml:space="preserve">   Hire-purchase creditor</t>
  </si>
  <si>
    <t>NET CURRENTS ASSETS/LIABILITIES</t>
  </si>
  <si>
    <t xml:space="preserve">   Amount owing by ultimate holding company</t>
  </si>
  <si>
    <t xml:space="preserve">   Amount owing to ultimate holding company</t>
  </si>
  <si>
    <t xml:space="preserve">   Amount owing to holding company</t>
  </si>
  <si>
    <t>RETAINED PROFIT/(LOSS) b/fwd</t>
  </si>
  <si>
    <t>S.SERVICES</t>
  </si>
  <si>
    <t>S.TRADING</t>
  </si>
  <si>
    <t>S.S'PORE</t>
  </si>
  <si>
    <t>S.P-TECH</t>
  </si>
  <si>
    <t>S.PLYWOOD</t>
  </si>
  <si>
    <t>S.DEVELOP</t>
  </si>
  <si>
    <t>TOTAL</t>
  </si>
  <si>
    <t>Balance Sheet</t>
  </si>
  <si>
    <t>Profit &amp; Loss</t>
  </si>
  <si>
    <t xml:space="preserve">   Exchange fluctuation reserve</t>
  </si>
  <si>
    <t xml:space="preserve">   Goodwill on consolidation</t>
  </si>
  <si>
    <t>Being elimination of cost of investment &amp; nominal share capital</t>
  </si>
  <si>
    <t>Being elimination of intercompany balances between GEM &amp;</t>
  </si>
  <si>
    <t>Gem Board S/B</t>
  </si>
  <si>
    <t>Amt owing by holding company</t>
  </si>
  <si>
    <t xml:space="preserve">  KLP</t>
  </si>
  <si>
    <t xml:space="preserve">  Amt owing by holding company</t>
  </si>
  <si>
    <t>Amt owing to subsidiary company</t>
  </si>
  <si>
    <t xml:space="preserve">  Amt owing by ultimate holding company</t>
  </si>
  <si>
    <t>Amt owing to holding company</t>
  </si>
  <si>
    <t xml:space="preserve">  Amt owing by subsidiary company</t>
  </si>
  <si>
    <t>Being reclassification of amount owing by KLP to SEAL now</t>
  </si>
  <si>
    <t>adjusted to reflect based on GEM position in the Group</t>
  </si>
  <si>
    <t>Subsidiary company</t>
  </si>
  <si>
    <t xml:space="preserve">  Retained profit b/fwd </t>
  </si>
  <si>
    <t>Being adjustment to tally retained profit b/fwd of audited a/cs</t>
  </si>
  <si>
    <t>No:</t>
  </si>
  <si>
    <t xml:space="preserve">   Head office current a/c</t>
  </si>
  <si>
    <t xml:space="preserve">   in subsidiary companies by Seal</t>
  </si>
  <si>
    <t>Share capital-Gem</t>
  </si>
  <si>
    <t xml:space="preserve">                    Sam Koh</t>
  </si>
  <si>
    <t xml:space="preserve">                    Seal Board</t>
  </si>
  <si>
    <t xml:space="preserve">                    Seal Trading</t>
  </si>
  <si>
    <t xml:space="preserve">                    Seal Services</t>
  </si>
  <si>
    <t xml:space="preserve">                    Seal Trading Pte Ltd</t>
  </si>
  <si>
    <t xml:space="preserve">                    Seal Panel-Tech</t>
  </si>
  <si>
    <t xml:space="preserve">                    Seal (Plywood)</t>
  </si>
  <si>
    <t xml:space="preserve">                    Seal Development</t>
  </si>
  <si>
    <t xml:space="preserve">   Capital reserve (exchange fluctuation-Seal Trading Pte Ltd)</t>
  </si>
  <si>
    <t>Being elimination of share capital in subsidiaries</t>
  </si>
  <si>
    <t>Being goodwill on consolidation written  off</t>
  </si>
  <si>
    <t>Dividends payable</t>
  </si>
  <si>
    <t xml:space="preserve">   Retained loss b/fwd</t>
  </si>
  <si>
    <t>Being reinstatement on GEM 1997 proposed dividends</t>
  </si>
  <si>
    <t>Amt owing to subsidiary companies</t>
  </si>
  <si>
    <t xml:space="preserve">   Amt owing by ultimate holding company</t>
  </si>
  <si>
    <t>Being elimination of amount owing to sub coy/holding coy</t>
  </si>
  <si>
    <t xml:space="preserve">   Amt owing by holding company</t>
  </si>
  <si>
    <t>Amt owing to related company</t>
  </si>
  <si>
    <t xml:space="preserve">   Amt owing by related company</t>
  </si>
  <si>
    <t xml:space="preserve">   Retained profit-prov. for doubtful debts on related coys @</t>
  </si>
  <si>
    <t xml:space="preserve">   Other creditors</t>
  </si>
  <si>
    <t xml:space="preserve">   Capital reserve-forex diff btw GEM/Seal Trading Corpn with</t>
  </si>
  <si>
    <t>Being MI share of loss in Gem Bhd</t>
  </si>
  <si>
    <t>Capital reserves</t>
  </si>
  <si>
    <t>Being reclassification of accounts</t>
  </si>
  <si>
    <t xml:space="preserve">   Amt owing by subsidiary companies</t>
  </si>
  <si>
    <t xml:space="preserve">   Retained profit:-</t>
  </si>
  <si>
    <t xml:space="preserve">      Prov for doubtful debts on related coys by Seal Trading</t>
  </si>
  <si>
    <t xml:space="preserve">      Prov for doubtful debts on related coys by Seal Inc</t>
  </si>
  <si>
    <t xml:space="preserve">   Capital reserve-forex diff btw Seal Pte Ltd &amp; Seal Inc</t>
  </si>
  <si>
    <t>Amt owing to ultimate holding company</t>
  </si>
  <si>
    <t>Retained loss b/fwd</t>
  </si>
  <si>
    <t>Being elimination of amount owing to/by related coys</t>
  </si>
  <si>
    <t>Being adjustment to tally retained loss b/fwd with audited</t>
  </si>
  <si>
    <t>accounts</t>
  </si>
  <si>
    <t xml:space="preserve">SEAL INCORPORATED BERHAD </t>
  </si>
  <si>
    <t>Interest received from Seal</t>
  </si>
  <si>
    <t xml:space="preserve">INTER-COMPANY SALES </t>
  </si>
  <si>
    <t>AS AT</t>
  </si>
  <si>
    <t>PRECEDING</t>
  </si>
  <si>
    <t>FINANCIAL</t>
  </si>
  <si>
    <t>YEAR END</t>
  </si>
  <si>
    <t>Net Tangible Assets per share (sen)</t>
  </si>
  <si>
    <t>Term Loan And Revolving Loan (Repayable within 12 months)</t>
  </si>
  <si>
    <t>Term Loan And Revolving Loan (Repayable after 12 months)</t>
  </si>
  <si>
    <t>Comments On Financial Results ( Current Quarter Compared  With The Preceding Quarter)</t>
  </si>
  <si>
    <t>CONSOLIDATION ADJUSTMENTS</t>
  </si>
  <si>
    <t xml:space="preserve">  Other creditors</t>
  </si>
  <si>
    <t xml:space="preserve">   Other debtors</t>
  </si>
  <si>
    <t>Quarter</t>
  </si>
  <si>
    <t>Extraordinary Items</t>
  </si>
  <si>
    <t>(a) Guarantees</t>
  </si>
  <si>
    <t xml:space="preserve">     Guarantees to banks for credit facilities extended to subsidiary companies</t>
  </si>
  <si>
    <t xml:space="preserve">     the financial statements of the Group and the Company.</t>
  </si>
  <si>
    <t xml:space="preserve">   </t>
  </si>
  <si>
    <t>Todate</t>
  </si>
  <si>
    <t>Further to the disclosures in the last quarterly report, the followings are the updates of the material</t>
  </si>
  <si>
    <t>litigations whereby the Group and the Company are engaged as Plaintiff:-</t>
  </si>
  <si>
    <t>(a) Great Eastern Mills Berhad vs. Lee Wai Ying For The Sum Of RM7.5 Million</t>
  </si>
  <si>
    <t xml:space="preserve">     Lee Wai Ying was duly adjudged a bankrupt on 16 November 2000 via  Bankruptcy  No. D3-29-</t>
  </si>
  <si>
    <t>for the year ended 30 June 2001</t>
  </si>
  <si>
    <t xml:space="preserve">  Sales of insurance-Seal Services to Seal/Gem</t>
  </si>
  <si>
    <t>The figures for items (i) have not been audited.</t>
  </si>
  <si>
    <t xml:space="preserve">        CUMULATIVE PERIOD</t>
  </si>
  <si>
    <t>Revenue</t>
  </si>
  <si>
    <t xml:space="preserve">Other income </t>
  </si>
  <si>
    <t>Profit/(loss) before finance cost, depreciation and</t>
  </si>
  <si>
    <t>amortisation, exceptional items, income tax,</t>
  </si>
  <si>
    <t>minority interests and extraordinary items</t>
  </si>
  <si>
    <t>Finance cost</t>
  </si>
  <si>
    <t>Profit/(loss) before income tax, minority interests</t>
  </si>
  <si>
    <t>Share of profits and losses of associated companies</t>
  </si>
  <si>
    <t xml:space="preserve">and extraordinary items after share of profit and </t>
  </si>
  <si>
    <t>losses of associated companies</t>
  </si>
  <si>
    <t>Income tax</t>
  </si>
  <si>
    <t>Profit/(loss) after income tax before deducting</t>
  </si>
  <si>
    <t>minority interests</t>
  </si>
  <si>
    <t>Minority interests</t>
  </si>
  <si>
    <t>Pre-acquisition profit/(loss), if applicable</t>
  </si>
  <si>
    <t>Net profit/(loss) from ordinary activities attributable</t>
  </si>
  <si>
    <t>to members of the company</t>
  </si>
  <si>
    <t>Extraordinary items attributable to members of the</t>
  </si>
  <si>
    <t>company</t>
  </si>
  <si>
    <t>(m)</t>
  </si>
  <si>
    <t xml:space="preserve">Earnings per share based on 2(m) above after </t>
  </si>
  <si>
    <t>if any:</t>
  </si>
  <si>
    <t>Full diluted (based on ordinary shares - sen)</t>
  </si>
  <si>
    <t>Dividend Description</t>
  </si>
  <si>
    <t xml:space="preserve">PRECEDING </t>
  </si>
  <si>
    <t xml:space="preserve">       INDIVIDUAL PERIOD                  </t>
  </si>
  <si>
    <t>Proposed Private Placement</t>
  </si>
  <si>
    <t>Proposed Disposal of Land</t>
  </si>
  <si>
    <t>AS AT END OF CURRENT</t>
  </si>
  <si>
    <t>AS AT PRECEDING FINANCIAL</t>
  </si>
  <si>
    <t>Net profit/(loss) attributable to members of the</t>
  </si>
  <si>
    <t xml:space="preserve">     5123-99 by  TA  Securities  Berhad. The Company's solicitors has filed in  the  proof of  debt  on</t>
  </si>
  <si>
    <t>MAJMESRA</t>
  </si>
  <si>
    <t xml:space="preserve">                    Majmesra</t>
  </si>
  <si>
    <t>Being MI share of retained loss b/fwd in Gem</t>
  </si>
  <si>
    <t xml:space="preserve">Minority interest-B/S </t>
  </si>
  <si>
    <t xml:space="preserve">    Minority interest-B/S</t>
  </si>
  <si>
    <t>Being adjustment to tally minority interest b/fwd with audited</t>
  </si>
  <si>
    <t>30/06/01</t>
  </si>
  <si>
    <t>Journal No:</t>
  </si>
  <si>
    <t>Being elimination of amount owing to holding coy/sub coy</t>
  </si>
  <si>
    <t xml:space="preserve">      GEM level</t>
  </si>
  <si>
    <t xml:space="preserve">          Rent received from Gem @ RM750-00</t>
  </si>
  <si>
    <t xml:space="preserve">          Gem-interest received from Seal</t>
  </si>
  <si>
    <t>Profits From Sale Of Unquoted Investments And/Or Properties</t>
  </si>
  <si>
    <t>There was no sale of investment or properties for the current quarter and financial year to date.</t>
  </si>
  <si>
    <t>Material Events Subsequent To The End Of The Current Quarter</t>
  </si>
  <si>
    <t>Seasonal Or Cyclicality Of Operations</t>
  </si>
  <si>
    <t>The operations of the Group and Company are not subject to any seasonal or cyclical changes.</t>
  </si>
  <si>
    <t>requirement is to alleviate the cash flow constraint by disposing assets to reduce the level of bank</t>
  </si>
  <si>
    <t>Group to reduce it's level of bank borrowings.</t>
  </si>
  <si>
    <t xml:space="preserve">of Directors is reviewing various options to restructure the Group's businesses and  an  immediate </t>
  </si>
  <si>
    <t xml:space="preserve">borrowings of the Group, hence saving on high finance  cost.  The  performance  of  the  Group  is </t>
  </si>
  <si>
    <t xml:space="preserve">dependent on the success of the restructuring of the Group's  businesses  and  the  ability  of  the </t>
  </si>
  <si>
    <t>Prospect For The Current Financial Year</t>
  </si>
  <si>
    <t xml:space="preserve">     The legal action against Lee Wai Ying was for the refund of the advance of RM7.5 million given</t>
  </si>
  <si>
    <t xml:space="preserve">     Mall and Bukit Maluri Industrial Complex.</t>
  </si>
  <si>
    <t>(c) Seal Incorporated Berhad vs. Selayang Mall Sdn Bhd For The Sum Of RM12,124,065.14</t>
  </si>
  <si>
    <t xml:space="preserve">(b) i) Seal Incorporated Berhad vs. Aik Shing Development Sdn Bhd For The Sum Of </t>
  </si>
  <si>
    <t xml:space="preserve">        RM34,038,150.00</t>
  </si>
  <si>
    <t xml:space="preserve">        The legal action against Aik Shing Development Sdn Bhd (Aik Shing) was for the non-fulfillment</t>
  </si>
  <si>
    <t xml:space="preserve">        pursuant to the Supplement Agreement dated 16 December 1996 between the  Company,  Aik</t>
  </si>
  <si>
    <t xml:space="preserve">        Shing and Richlane Corporation Sdn Bhd (Richlane) whereby Aik Shing &amp; Richlane were jointly</t>
  </si>
  <si>
    <t xml:space="preserve">        and severally liable for any shortfall in the profit before tax of  Selayang  Mall  and  Buki  Maluri</t>
  </si>
  <si>
    <t xml:space="preserve">        Industrial Complex for the financial years ended 30 June 1997, 30 June 1998 and 30 June 1999.</t>
  </si>
  <si>
    <t xml:space="preserve">        The Company is the Supporting Creditor in the matter of  Company Winding Up No.D6-28-437-</t>
  </si>
  <si>
    <t xml:space="preserve">        2000 filed by Perdana Merchant Bankers Berhad against Aik Shing Development  Sdn  Bhd  at </t>
  </si>
  <si>
    <t xml:space="preserve">   (ii) Seal Incorporated Berhad vs. Richlane Corporation Sdn Bhd For The Sum Of </t>
  </si>
  <si>
    <t>to-date. The investments in quoted shares as at end of the reporting period is:</t>
  </si>
  <si>
    <t>There is no purchase or disposal of quoted securities during the  current  financial  quarter  and  year</t>
  </si>
  <si>
    <t xml:space="preserve">        Shing Development Sdn Bhd (Aik Shing) and Richlane whereby Aik Shing &amp; Richlane were jointly</t>
  </si>
  <si>
    <t xml:space="preserve">There is no change in the accounting policies and methods of computation  in the  quarterly  financial </t>
  </si>
  <si>
    <t>prior years.</t>
  </si>
  <si>
    <t xml:space="preserve">There was no tax charge or deferred taxation or adjustment for over provision for taxation in respect of </t>
  </si>
  <si>
    <t xml:space="preserve"> </t>
  </si>
  <si>
    <t xml:space="preserve">     for supply of logs but no logs were delivered.</t>
  </si>
  <si>
    <t xml:space="preserve">        of  the  profit  guarantee  in  respect of  Selayang  Mall  and  Bukit  Maluri  Industrial  Complex </t>
  </si>
  <si>
    <t xml:space="preserve">        the Kuala Lumpur High  Court. The  matter  was  adjourned  indefinitely  pursuant  to  a  Court </t>
  </si>
  <si>
    <t xml:space="preserve">        of  profit  guarantee  in  respect of  Selayang  Mall  and  Bukit  Maluri  Industrial  Complex </t>
  </si>
  <si>
    <t xml:space="preserve">        The legal action against Richlane Corporation  Sdn  Bhd  (Richlane)  was for  the  non-fulfillment</t>
  </si>
  <si>
    <t xml:space="preserve">Details of issuances and repayment of debt and  equity  securities,  share-buy-backs,  shares </t>
  </si>
  <si>
    <t>financial year to date.</t>
  </si>
  <si>
    <t>cancellations, shares held as treasury shares and resale  of  treasury  shares  for the  current</t>
  </si>
  <si>
    <t xml:space="preserve">     opinion  that  such  contingent  liabilities i.e. interest  and  costs,  if  any,  are  not  significant  to  </t>
  </si>
  <si>
    <t xml:space="preserve">     Certain  creditors  have  filed  claims  against  the  Group   and   the  Company   to   recover   the </t>
  </si>
  <si>
    <t xml:space="preserve">     plus interest and costs.  The  principal  debts  have  been provided  in   the   financial   statements</t>
  </si>
  <si>
    <t xml:space="preserve">     of  the  Group  and  the  Company but  no  provisions  has  been  made  for  interest  and   costs  </t>
  </si>
  <si>
    <t xml:space="preserve">     pending  the  outcome  and  settlement  of   the  legal   proceedings.  The  Directors  are  of   the </t>
  </si>
  <si>
    <t xml:space="preserve">        Order dated 20 July 2000.</t>
  </si>
  <si>
    <t xml:space="preserve">      </t>
  </si>
  <si>
    <t>ex-rate=</t>
  </si>
  <si>
    <t xml:space="preserve">   Minority interests (Gem - RM10,001,250; Majmesra - RM49)</t>
  </si>
  <si>
    <t xml:space="preserve">SAM </t>
  </si>
  <si>
    <t>KOH</t>
  </si>
  <si>
    <t>SERVICES</t>
  </si>
  <si>
    <t>BOARD</t>
  </si>
  <si>
    <t>OTHER</t>
  </si>
  <si>
    <t>INCOME</t>
  </si>
  <si>
    <t>EXPENSES</t>
  </si>
  <si>
    <t>NET</t>
  </si>
  <si>
    <t xml:space="preserve">        7 September 2001.</t>
  </si>
  <si>
    <t>quarter.</t>
  </si>
  <si>
    <t>quarter. The results of the current quarter have not changed significantly  from  that  of  the  preceding</t>
  </si>
  <si>
    <t>bank borrowings.</t>
  </si>
  <si>
    <t>The performance of the Group has not improved mainly due to the interest cost from the high  level  of</t>
  </si>
  <si>
    <t xml:space="preserve">In view of the losses incurred by the Group for the last four consecutive financial years, the Board </t>
  </si>
  <si>
    <t xml:space="preserve">        Corporation Sdn Bhd in the matter  of  Company  Winding  Up  Order No. 7-28-641-2000  at  the </t>
  </si>
  <si>
    <t xml:space="preserve">        The  Company  has  obtained  a  Winding  Up  Order  on  18  February 2001  against   Richlane </t>
  </si>
  <si>
    <t xml:space="preserve">     The  legal  action  against Selayang  Mall  Sdn  Bhd   (SMSB)   was   for   the   recovery   of   the </t>
  </si>
  <si>
    <t xml:space="preserve">     outstanding rental due to the Company as at 30 June 1999 in  relation  to  the  rental  of  Selayang </t>
  </si>
  <si>
    <t>FOR THE 9 MONTHS ENDED 31 MARCH 2002</t>
  </si>
  <si>
    <t>AS AT 31 MARCH 2002</t>
  </si>
  <si>
    <t>NOTES TO THE ACCOUNTS -31 MARCH 2002</t>
  </si>
  <si>
    <t>CONSOLIDATION ADJUSTMENTS - 31 MARCH 2002</t>
  </si>
  <si>
    <t xml:space="preserve">   Seal Trading Pte Ltd-RM(289-220)</t>
  </si>
  <si>
    <t>accounts RM(3,711,925-1,848,081)</t>
  </si>
  <si>
    <t>RM(10,001,250/24,979,500x{-20,381,580})</t>
  </si>
  <si>
    <t>RM{10,001,250/24,979,500x-878,203}</t>
  </si>
  <si>
    <t>31/03/2002</t>
  </si>
  <si>
    <t>31/03/02</t>
  </si>
  <si>
    <t>ENDED 31 MARCH 2002</t>
  </si>
  <si>
    <t>31/03/2001</t>
  </si>
  <si>
    <t xml:space="preserve">     The  Company has obtained a Winding Up Order on 11 January 2002 against  Selayang Mall Sdn </t>
  </si>
  <si>
    <t>The Group's turnover in the current quarter was RM2.96 million as compared to RM3.01 million in  the</t>
  </si>
  <si>
    <t>income from the investment properties. The Group recorded a loss before taxation  of  RM1.56  million</t>
  </si>
  <si>
    <t>preceding quarter. The decrease in the Group's  turnover was  mainly  due  to  the decrease  in  rental</t>
  </si>
  <si>
    <t>in the current quarter as  compared  to  a  loss  before  taxation  of  RM1.67 million  in  the  preceding</t>
  </si>
  <si>
    <t>(b) Litigations</t>
  </si>
  <si>
    <t xml:space="preserve">     principal  debts  amounting  to  approximately  RM2.67 million  and   RM0.98 million   respectively</t>
  </si>
  <si>
    <t xml:space="preserve">     Bhd in the matter of Company Winding Up Order No. D4(D8)-28-358-2001  at  the  Kuala  Lumpur</t>
  </si>
  <si>
    <t xml:space="preserve">Save as disclosed in Note 8, there were no material  events  subsequent  to  the  end  of  the  current </t>
  </si>
  <si>
    <t xml:space="preserve">Geographical segment is not presented as the Group operates solely in Malaysia. </t>
  </si>
  <si>
    <t xml:space="preserve">statements as compared with the most recent  annual audited financial  statements  as  at  30  June   </t>
  </si>
  <si>
    <t>There is no exceptional item for the current quarter and financial year-to-date.</t>
  </si>
  <si>
    <t>There is no extraordinary item for the current quarter and financial year-to-date.</t>
  </si>
  <si>
    <t>There is no change in the composition of  the Group for  the  current quarter and financial year-to-date</t>
  </si>
  <si>
    <t xml:space="preserve">including  business  combination,  acquisition  or  disposal of  subsidiary and  long  term  investment, </t>
  </si>
  <si>
    <t>restructuring and discounting operations.</t>
  </si>
  <si>
    <t xml:space="preserve">     There was no change since the last annual Balance Sheet date up to the date of this report.</t>
  </si>
  <si>
    <t>The Company has not provided any profit forecast or profit guarantee.</t>
  </si>
  <si>
    <t>Basic (based on 112,145,732 ordinary shares - sen)</t>
  </si>
  <si>
    <t>QUARTERLY REPORT ON CONSOLIDATED RESULTS FOR THE THIRD QUARTER ENDED 31 MARCH 2002</t>
  </si>
  <si>
    <t xml:space="preserve">principle the listing of 11,214,000 additional new shares of RM1/- each to be issued pursuant to </t>
  </si>
  <si>
    <t xml:space="preserve">     26 June 2001 and the first creditors' meeting was fixed on 16 May 2002.</t>
  </si>
  <si>
    <t xml:space="preserve">The Kuala Lumpur Stock Exchange (KLSE) vide its letter dated 10 April 2002 has approved in </t>
  </si>
  <si>
    <t xml:space="preserve">the Private Placement. The Securities Commission (SC) vide its letter dated 6 May 2002 </t>
  </si>
  <si>
    <t>has also approved the Private Placement subject to the Guidelines on Private Placement.</t>
  </si>
  <si>
    <t xml:space="preserve">No dividend has been recommended.  </t>
  </si>
  <si>
    <t>Subsequent to the approval of shareholders on the disposal of Cheras Land measuring approximately</t>
  </si>
  <si>
    <t xml:space="preserve">31.95 acres at the Extraordinary General Meeting held on 20 December 2001, the Company was </t>
  </si>
  <si>
    <t xml:space="preserve">informed by the purchaser's solicitor vide its letter dated 29 April 2002 of a compulsory acquisition of   </t>
  </si>
  <si>
    <t xml:space="preserve">approximately 0.7% of the said land by the State Government. However, no action was taken by the </t>
  </si>
  <si>
    <t xml:space="preserve">Company nor the purchaser since it is still within the Extended Payment Period and the purchaser </t>
  </si>
  <si>
    <t xml:space="preserve">has expressed its continuing interest on the acquisition.  </t>
  </si>
  <si>
    <t xml:space="preserve">        Kuala  Lumpur   High  Court.  The   Company's   solicitor   has  filed in the  proof  of  debts   on</t>
  </si>
  <si>
    <t xml:space="preserve">     High court. The Company's solicitor has filed in the proof of debts on 29 March 2002.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</si>
</sst>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0000"/>
    <numFmt numFmtId="175" formatCode="_(* #,##0.000_);_(* \(#,##0.000\);_(* &quot;-&quot;???_);_(@_)"/>
    <numFmt numFmtId="176" formatCode="d\-mmm\-yyyy"/>
    <numFmt numFmtId="177" formatCode="d/mmm/yyyy"/>
    <numFmt numFmtId="178" formatCode="d/mmm/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Calligrapher"/>
      <family val="0"/>
    </font>
    <font>
      <b/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166" fontId="0" fillId="0" borderId="0" xfId="15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6" fontId="0" fillId="0" borderId="4" xfId="15" applyNumberFormat="1" applyBorder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Fill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4" xfId="15" applyNumberFormat="1" applyFont="1" applyBorder="1" applyAlignment="1">
      <alignment horizontal="center"/>
    </xf>
    <xf numFmtId="166" fontId="0" fillId="0" borderId="4" xfId="15" applyNumberFormat="1" applyFont="1" applyBorder="1" applyAlignment="1">
      <alignment/>
    </xf>
    <xf numFmtId="166" fontId="0" fillId="0" borderId="4" xfId="15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66" fontId="0" fillId="0" borderId="0" xfId="15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3" xfId="15" applyNumberFormat="1" applyFont="1" applyBorder="1" applyAlignment="1">
      <alignment/>
    </xf>
    <xf numFmtId="2" fontId="0" fillId="0" borderId="0" xfId="0" applyNumberFormat="1" applyAlignment="1">
      <alignment/>
    </xf>
    <xf numFmtId="44" fontId="0" fillId="0" borderId="0" xfId="17" applyAlignment="1">
      <alignment/>
    </xf>
    <xf numFmtId="43" fontId="0" fillId="0" borderId="0" xfId="15" applyAlignment="1">
      <alignment/>
    </xf>
    <xf numFmtId="49" fontId="0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2" xfId="15" applyNumberFormat="1" applyFont="1" applyBorder="1" applyAlignment="1">
      <alignment/>
    </xf>
    <xf numFmtId="166" fontId="0" fillId="0" borderId="2" xfId="15" applyNumberFormat="1" applyFont="1" applyBorder="1" applyAlignment="1" quotePrefix="1">
      <alignment horizontal="center"/>
    </xf>
    <xf numFmtId="166" fontId="0" fillId="0" borderId="2" xfId="15" applyNumberFormat="1" applyFont="1" applyFill="1" applyBorder="1" applyAlignment="1">
      <alignment/>
    </xf>
    <xf numFmtId="166" fontId="0" fillId="0" borderId="0" xfId="15" applyNumberFormat="1" applyFont="1" applyAlignment="1">
      <alignment horizontal="right"/>
    </xf>
    <xf numFmtId="166" fontId="0" fillId="0" borderId="0" xfId="15" applyNumberFormat="1" applyFont="1" applyAlignment="1" quotePrefix="1">
      <alignment horizontal="center"/>
    </xf>
    <xf numFmtId="166" fontId="0" fillId="0" borderId="3" xfId="15" applyNumberFormat="1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0" xfId="15" applyNumberFormat="1" applyFont="1" applyBorder="1" applyAlignment="1" quotePrefix="1">
      <alignment horizontal="center"/>
    </xf>
    <xf numFmtId="166" fontId="0" fillId="0" borderId="3" xfId="15" applyNumberFormat="1" applyFont="1" applyBorder="1" applyAlignment="1" quotePrefix="1">
      <alignment horizontal="center"/>
    </xf>
    <xf numFmtId="166" fontId="0" fillId="0" borderId="3" xfId="15" applyNumberFormat="1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43" fontId="0" fillId="0" borderId="0" xfId="15" applyFont="1" applyAlignment="1">
      <alignment horizontal="right"/>
    </xf>
    <xf numFmtId="166" fontId="0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6" fontId="0" fillId="0" borderId="5" xfId="15" applyNumberFormat="1" applyFont="1" applyBorder="1" applyAlignment="1">
      <alignment/>
    </xf>
    <xf numFmtId="15" fontId="0" fillId="0" borderId="0" xfId="0" applyNumberFormat="1" applyFont="1" applyAlignment="1">
      <alignment/>
    </xf>
    <xf numFmtId="0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66" fontId="0" fillId="0" borderId="0" xfId="15" applyNumberFormat="1" applyAlignment="1">
      <alignment/>
    </xf>
    <xf numFmtId="166" fontId="0" fillId="0" borderId="4" xfId="15" applyNumberFormat="1" applyBorder="1" applyAlignment="1">
      <alignment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66" fontId="0" fillId="0" borderId="1" xfId="15" applyNumberFormat="1" applyFont="1" applyFill="1" applyBorder="1" applyAlignment="1">
      <alignment/>
    </xf>
    <xf numFmtId="166" fontId="0" fillId="0" borderId="0" xfId="15" applyNumberFormat="1" applyFont="1" applyBorder="1" applyAlignment="1">
      <alignment horizontal="left"/>
    </xf>
    <xf numFmtId="166" fontId="0" fillId="0" borderId="0" xfId="15" applyNumberFormat="1" applyFont="1" applyFill="1" applyBorder="1" applyAlignment="1">
      <alignment horizontal="left"/>
    </xf>
    <xf numFmtId="166" fontId="0" fillId="0" borderId="0" xfId="15" applyNumberFormat="1" applyAlignment="1">
      <alignment horizontal="left"/>
    </xf>
    <xf numFmtId="166" fontId="0" fillId="0" borderId="4" xfId="15" applyNumberFormat="1" applyFont="1" applyBorder="1" applyAlignment="1">
      <alignment horizontal="left"/>
    </xf>
    <xf numFmtId="166" fontId="0" fillId="0" borderId="0" xfId="15" applyNumberFormat="1" applyFont="1" applyAlignment="1">
      <alignment horizontal="left"/>
    </xf>
    <xf numFmtId="166" fontId="0" fillId="0" borderId="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166" fontId="0" fillId="0" borderId="3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0" applyNumberFormat="1" applyBorder="1" applyAlignment="1">
      <alignment/>
    </xf>
    <xf numFmtId="0" fontId="5" fillId="0" borderId="0" xfId="0" applyFont="1" applyAlignment="1">
      <alignment/>
    </xf>
    <xf numFmtId="166" fontId="0" fillId="0" borderId="5" xfId="15" applyNumberFormat="1" applyBorder="1" applyAlignment="1">
      <alignment/>
    </xf>
    <xf numFmtId="49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43" fontId="0" fillId="0" borderId="0" xfId="15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15" applyNumberFormat="1" applyFill="1" applyBorder="1" applyAlignment="1">
      <alignment/>
    </xf>
    <xf numFmtId="166" fontId="0" fillId="0" borderId="0" xfId="15" applyNumberFormat="1" applyFont="1" applyAlignment="1">
      <alignment horizontal="right"/>
    </xf>
    <xf numFmtId="166" fontId="0" fillId="0" borderId="0" xfId="15" applyNumberFormat="1" applyAlignment="1">
      <alignment horizontal="center"/>
    </xf>
    <xf numFmtId="166" fontId="0" fillId="0" borderId="4" xfId="15" applyNumberFormat="1" applyBorder="1" applyAlignment="1">
      <alignment horizontal="center"/>
    </xf>
    <xf numFmtId="166" fontId="0" fillId="0" borderId="0" xfId="15" applyNumberFormat="1" applyAlignment="1">
      <alignment horizontal="right"/>
    </xf>
    <xf numFmtId="43" fontId="0" fillId="0" borderId="0" xfId="15" applyFont="1" applyFill="1" applyBorder="1" applyAlignment="1">
      <alignment/>
    </xf>
    <xf numFmtId="166" fontId="0" fillId="0" borderId="0" xfId="15" applyNumberFormat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0" fillId="0" borderId="0" xfId="0" applyNumberFormat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 horizontal="right"/>
    </xf>
    <xf numFmtId="43" fontId="0" fillId="0" borderId="0" xfId="15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166" fontId="0" fillId="0" borderId="13" xfId="15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right"/>
    </xf>
    <xf numFmtId="166" fontId="0" fillId="0" borderId="14" xfId="15" applyNumberFormat="1" applyFont="1" applyBorder="1" applyAlignment="1">
      <alignment horizontal="center"/>
    </xf>
    <xf numFmtId="166" fontId="0" fillId="0" borderId="14" xfId="15" applyNumberFormat="1" applyBorder="1" applyAlignment="1">
      <alignment/>
    </xf>
    <xf numFmtId="0" fontId="0" fillId="0" borderId="10" xfId="0" applyBorder="1" applyAlignment="1">
      <alignment horizontal="left"/>
    </xf>
    <xf numFmtId="49" fontId="0" fillId="0" borderId="3" xfId="15" applyNumberFormat="1" applyFont="1" applyBorder="1" applyAlignment="1">
      <alignment horizontal="center"/>
    </xf>
    <xf numFmtId="43" fontId="0" fillId="0" borderId="3" xfId="15" applyBorder="1" applyAlignment="1">
      <alignment/>
    </xf>
    <xf numFmtId="43" fontId="0" fillId="0" borderId="14" xfId="15" applyFont="1" applyBorder="1" applyAlignment="1">
      <alignment/>
    </xf>
    <xf numFmtId="43" fontId="0" fillId="0" borderId="14" xfId="15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43" fontId="0" fillId="0" borderId="13" xfId="15" applyBorder="1" applyAlignment="1">
      <alignment/>
    </xf>
    <xf numFmtId="43" fontId="0" fillId="0" borderId="6" xfId="15" applyBorder="1" applyAlignment="1">
      <alignment/>
    </xf>
    <xf numFmtId="43" fontId="0" fillId="0" borderId="5" xfId="15" applyBorder="1" applyAlignment="1">
      <alignment/>
    </xf>
    <xf numFmtId="166" fontId="0" fillId="0" borderId="5" xfId="0" applyNumberFormat="1" applyBorder="1" applyAlignment="1">
      <alignment/>
    </xf>
    <xf numFmtId="0" fontId="0" fillId="0" borderId="14" xfId="0" applyBorder="1" applyAlignment="1">
      <alignment horizontal="left"/>
    </xf>
    <xf numFmtId="166" fontId="0" fillId="0" borderId="15" xfId="15" applyNumberFormat="1" applyBorder="1" applyAlignment="1">
      <alignment/>
    </xf>
    <xf numFmtId="43" fontId="0" fillId="0" borderId="1" xfId="15" applyBorder="1" applyAlignment="1">
      <alignment/>
    </xf>
    <xf numFmtId="0" fontId="0" fillId="0" borderId="0" xfId="0" applyFill="1" applyBorder="1" applyAlignment="1">
      <alignment/>
    </xf>
    <xf numFmtId="178" fontId="0" fillId="0" borderId="15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66" fontId="0" fillId="0" borderId="13" xfId="15" applyNumberFormat="1" applyFont="1" applyBorder="1" applyAlignment="1">
      <alignment/>
    </xf>
    <xf numFmtId="166" fontId="0" fillId="0" borderId="14" xfId="15" applyNumberFormat="1" applyFont="1" applyBorder="1" applyAlignment="1">
      <alignment/>
    </xf>
    <xf numFmtId="166" fontId="0" fillId="0" borderId="14" xfId="15" applyNumberFormat="1" applyFont="1" applyBorder="1" applyAlignment="1">
      <alignment horizontal="center"/>
    </xf>
    <xf numFmtId="166" fontId="0" fillId="0" borderId="13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0" xfId="15" applyNumberFormat="1" applyFont="1" applyAlignment="1">
      <alignment horizontal="center"/>
    </xf>
    <xf numFmtId="43" fontId="7" fillId="0" borderId="0" xfId="15" applyFont="1" applyAlignment="1">
      <alignment horizontal="center"/>
    </xf>
    <xf numFmtId="166" fontId="7" fillId="0" borderId="0" xfId="15" applyNumberFormat="1" applyFont="1" applyAlignment="1">
      <alignment/>
    </xf>
    <xf numFmtId="166" fontId="7" fillId="0" borderId="0" xfId="15" applyNumberFormat="1" applyFont="1" applyBorder="1" applyAlignment="1">
      <alignment/>
    </xf>
    <xf numFmtId="166" fontId="7" fillId="0" borderId="3" xfId="15" applyNumberFormat="1" applyFont="1" applyBorder="1" applyAlignment="1">
      <alignment/>
    </xf>
    <xf numFmtId="43" fontId="7" fillId="0" borderId="3" xfId="15" applyFont="1" applyBorder="1" applyAlignment="1">
      <alignment horizontal="center"/>
    </xf>
    <xf numFmtId="15" fontId="7" fillId="0" borderId="0" xfId="0" applyNumberFormat="1" applyFont="1" applyAlignment="1">
      <alignment/>
    </xf>
    <xf numFmtId="166" fontId="7" fillId="0" borderId="1" xfId="15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66" fontId="7" fillId="0" borderId="4" xfId="15" applyNumberFormat="1" applyFont="1" applyBorder="1" applyAlignment="1">
      <alignment/>
    </xf>
    <xf numFmtId="166" fontId="7" fillId="0" borderId="5" xfId="15" applyNumberFormat="1" applyFont="1" applyBorder="1" applyAlignment="1">
      <alignment/>
    </xf>
    <xf numFmtId="166" fontId="7" fillId="0" borderId="2" xfId="15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15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43" fontId="7" fillId="0" borderId="2" xfId="15" applyFont="1" applyBorder="1" applyAlignment="1">
      <alignment/>
    </xf>
    <xf numFmtId="166" fontId="7" fillId="0" borderId="2" xfId="15" applyNumberFormat="1" applyFont="1" applyBorder="1" applyAlignment="1">
      <alignment horizontal="center"/>
    </xf>
    <xf numFmtId="166" fontId="7" fillId="0" borderId="0" xfId="15" applyNumberFormat="1" applyFont="1" applyFill="1" applyBorder="1" applyAlignment="1">
      <alignment/>
    </xf>
    <xf numFmtId="166" fontId="7" fillId="0" borderId="2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left"/>
    </xf>
    <xf numFmtId="166" fontId="7" fillId="0" borderId="3" xfId="15" applyNumberFormat="1" applyFont="1" applyBorder="1" applyAlignment="1">
      <alignment horizontal="center"/>
    </xf>
    <xf numFmtId="166" fontId="7" fillId="0" borderId="3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/>
    </xf>
    <xf numFmtId="166" fontId="7" fillId="0" borderId="0" xfId="0" applyNumberFormat="1" applyFont="1" applyAlignment="1">
      <alignment horizontal="left"/>
    </xf>
    <xf numFmtId="166" fontId="0" fillId="0" borderId="17" xfId="0" applyNumberFormat="1" applyBorder="1" applyAlignment="1">
      <alignment/>
    </xf>
    <xf numFmtId="166" fontId="0" fillId="0" borderId="0" xfId="15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6" fontId="0" fillId="0" borderId="4" xfId="0" applyNumberFormat="1" applyBorder="1" applyAlignment="1">
      <alignment/>
    </xf>
    <xf numFmtId="15" fontId="0" fillId="0" borderId="15" xfId="0" applyNumberFormat="1" applyBorder="1" applyAlignment="1">
      <alignment horizontal="center"/>
    </xf>
    <xf numFmtId="43" fontId="0" fillId="0" borderId="0" xfId="0" applyNumberFormat="1" applyAlignment="1">
      <alignment/>
    </xf>
    <xf numFmtId="178" fontId="0" fillId="0" borderId="13" xfId="0" applyNumberFormat="1" applyBorder="1" applyAlignment="1">
      <alignment horizontal="center"/>
    </xf>
    <xf numFmtId="166" fontId="0" fillId="0" borderId="13" xfId="15" applyNumberFormat="1" applyFont="1" applyBorder="1" applyAlignment="1">
      <alignment/>
    </xf>
    <xf numFmtId="43" fontId="0" fillId="0" borderId="13" xfId="15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4" xfId="15" applyNumberFormat="1" applyFont="1" applyBorder="1" applyAlignment="1">
      <alignment/>
    </xf>
    <xf numFmtId="166" fontId="0" fillId="0" borderId="12" xfId="15" applyNumberFormat="1" applyBorder="1" applyAlignment="1">
      <alignment/>
    </xf>
    <xf numFmtId="166" fontId="0" fillId="0" borderId="15" xfId="15" applyNumberFormat="1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4" xfId="15" applyFont="1" applyBorder="1" applyAlignment="1">
      <alignment/>
    </xf>
    <xf numFmtId="166" fontId="0" fillId="0" borderId="0" xfId="15" applyNumberFormat="1" applyBorder="1" applyAlignment="1">
      <alignment horizontal="center"/>
    </xf>
    <xf numFmtId="166" fontId="0" fillId="0" borderId="0" xfId="15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4" xfId="15" applyNumberFormat="1" applyBorder="1" applyAlignment="1">
      <alignment/>
    </xf>
    <xf numFmtId="3" fontId="0" fillId="0" borderId="3" xfId="15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15" applyNumberFormat="1" applyBorder="1" applyAlignment="1">
      <alignment/>
    </xf>
    <xf numFmtId="3" fontId="0" fillId="0" borderId="0" xfId="15" applyNumberFormat="1" applyBorder="1" applyAlignment="1">
      <alignment/>
    </xf>
    <xf numFmtId="3" fontId="0" fillId="0" borderId="8" xfId="15" applyNumberFormat="1" applyBorder="1" applyAlignment="1">
      <alignment/>
    </xf>
    <xf numFmtId="3" fontId="0" fillId="0" borderId="9" xfId="15" applyNumberFormat="1" applyBorder="1" applyAlignment="1">
      <alignment/>
    </xf>
    <xf numFmtId="4" fontId="0" fillId="0" borderId="3" xfId="15" applyNumberFormat="1" applyFont="1" applyBorder="1" applyAlignment="1">
      <alignment/>
    </xf>
    <xf numFmtId="4" fontId="0" fillId="0" borderId="14" xfId="15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workbookViewId="0" topLeftCell="A1">
      <selection activeCell="A5" sqref="A4:A5"/>
    </sheetView>
  </sheetViews>
  <sheetFormatPr defaultColWidth="9.140625" defaultRowHeight="12.75"/>
  <cols>
    <col min="1" max="1" width="51.7109375" style="0" customWidth="1"/>
    <col min="2" max="2" width="11.8515625" style="0" customWidth="1"/>
    <col min="3" max="3" width="10.28125" style="0" customWidth="1"/>
    <col min="4" max="4" width="10.140625" style="0" customWidth="1"/>
    <col min="5" max="5" width="14.140625" style="0" customWidth="1"/>
    <col min="6" max="8" width="12.28125" style="0" customWidth="1"/>
    <col min="9" max="9" width="10.28125" style="0" customWidth="1"/>
    <col min="10" max="10" width="10.140625" style="0" customWidth="1"/>
    <col min="12" max="12" width="53.7109375" style="0" bestFit="1" customWidth="1"/>
    <col min="13" max="14" width="10.28125" style="0" bestFit="1" customWidth="1"/>
    <col min="15" max="15" width="6.140625" style="0" bestFit="1" customWidth="1"/>
  </cols>
  <sheetData>
    <row r="1" spans="1:15" ht="12.75">
      <c r="A1" s="32" t="s">
        <v>0</v>
      </c>
      <c r="B1" s="32"/>
      <c r="C1" s="32"/>
      <c r="D1" s="32"/>
      <c r="E1" s="32"/>
      <c r="F1" s="32"/>
      <c r="G1" s="32"/>
      <c r="H1" s="32"/>
      <c r="L1" s="82" t="s">
        <v>18</v>
      </c>
      <c r="M1" s="32"/>
      <c r="N1" s="32"/>
      <c r="O1" s="32">
        <v>1</v>
      </c>
    </row>
    <row r="2" spans="1:15" ht="12.75">
      <c r="A2" s="32" t="s">
        <v>1</v>
      </c>
      <c r="B2" s="32"/>
      <c r="C2" s="32"/>
      <c r="D2" s="32"/>
      <c r="E2" s="32"/>
      <c r="F2" s="32"/>
      <c r="G2" s="32"/>
      <c r="H2" s="32"/>
      <c r="O2" s="32">
        <f aca="true" t="shared" si="0" ref="O2:O34">O1+1</f>
        <v>2</v>
      </c>
    </row>
    <row r="3" spans="1:15" ht="12.75">
      <c r="A3" s="32" t="s">
        <v>381</v>
      </c>
      <c r="B3" s="33"/>
      <c r="C3" s="33"/>
      <c r="D3" s="33"/>
      <c r="E3" s="32"/>
      <c r="F3" s="32"/>
      <c r="G3" s="32"/>
      <c r="H3" s="33" t="s">
        <v>2</v>
      </c>
      <c r="I3" s="44"/>
      <c r="L3" s="32" t="s">
        <v>252</v>
      </c>
      <c r="M3" s="33" t="s">
        <v>7</v>
      </c>
      <c r="N3" s="33" t="s">
        <v>8</v>
      </c>
      <c r="O3" s="32">
        <f t="shared" si="0"/>
        <v>3</v>
      </c>
    </row>
    <row r="4" spans="1:15" ht="12.75">
      <c r="A4" s="8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44"/>
      <c r="K4" s="9" t="s">
        <v>201</v>
      </c>
      <c r="L4" s="35" t="s">
        <v>380</v>
      </c>
      <c r="M4" s="7" t="s">
        <v>10</v>
      </c>
      <c r="N4" s="7" t="s">
        <v>10</v>
      </c>
      <c r="O4" s="32">
        <f t="shared" si="0"/>
        <v>4</v>
      </c>
    </row>
    <row r="5" spans="1:15" ht="12" customHeight="1">
      <c r="A5" s="32"/>
      <c r="B5" s="33" t="s">
        <v>10</v>
      </c>
      <c r="C5" s="33" t="s">
        <v>10</v>
      </c>
      <c r="D5" s="33" t="s">
        <v>10</v>
      </c>
      <c r="E5" s="33" t="s">
        <v>10</v>
      </c>
      <c r="F5" s="33" t="s">
        <v>10</v>
      </c>
      <c r="G5" s="33" t="s">
        <v>10</v>
      </c>
      <c r="H5" s="33" t="s">
        <v>10</v>
      </c>
      <c r="L5" s="32"/>
      <c r="O5" s="32">
        <f t="shared" si="0"/>
        <v>5</v>
      </c>
    </row>
    <row r="6" spans="1:15" ht="12.75">
      <c r="A6" s="32" t="s">
        <v>146</v>
      </c>
      <c r="B6" s="19"/>
      <c r="C6" s="19"/>
      <c r="D6" s="19"/>
      <c r="E6" s="19"/>
      <c r="F6" s="72"/>
      <c r="G6" s="72"/>
      <c r="H6" s="21"/>
      <c r="I6" s="45"/>
      <c r="K6" s="11">
        <v>1</v>
      </c>
      <c r="L6" s="32" t="s">
        <v>38</v>
      </c>
      <c r="M6" s="16">
        <v>2000002</v>
      </c>
      <c r="N6" s="16"/>
      <c r="O6" s="32">
        <f t="shared" si="0"/>
        <v>6</v>
      </c>
    </row>
    <row r="7" spans="1:15" ht="12.75">
      <c r="A7" s="32" t="s">
        <v>147</v>
      </c>
      <c r="B7" s="19">
        <v>6276075</v>
      </c>
      <c r="C7" s="19">
        <v>113</v>
      </c>
      <c r="D7" s="19">
        <v>0</v>
      </c>
      <c r="E7" s="19">
        <f aca="true" t="shared" si="1" ref="E7:E12">SUM(B7:D7)</f>
        <v>6276188</v>
      </c>
      <c r="F7" s="72"/>
      <c r="G7" s="72"/>
      <c r="H7" s="21">
        <f aca="true" t="shared" si="2" ref="H7:H13">+E7+F7-G7</f>
        <v>6276188</v>
      </c>
      <c r="L7" s="32" t="s">
        <v>39</v>
      </c>
      <c r="M7" s="16"/>
      <c r="N7" s="16">
        <v>2000002</v>
      </c>
      <c r="O7" s="32">
        <f t="shared" si="0"/>
        <v>7</v>
      </c>
    </row>
    <row r="8" spans="1:15" ht="12.75">
      <c r="A8" s="32" t="s">
        <v>148</v>
      </c>
      <c r="B8" s="19">
        <v>0</v>
      </c>
      <c r="C8" s="52">
        <v>0</v>
      </c>
      <c r="D8" s="52">
        <v>0</v>
      </c>
      <c r="E8" s="19">
        <f t="shared" si="1"/>
        <v>0</v>
      </c>
      <c r="F8" s="72"/>
      <c r="G8" s="72"/>
      <c r="H8" s="21">
        <f t="shared" si="2"/>
        <v>0</v>
      </c>
      <c r="O8" s="32">
        <f t="shared" si="0"/>
        <v>8</v>
      </c>
    </row>
    <row r="9" spans="1:15" ht="12.75">
      <c r="A9" s="32" t="s">
        <v>149</v>
      </c>
      <c r="B9" s="19">
        <v>2</v>
      </c>
      <c r="C9" s="52">
        <v>0</v>
      </c>
      <c r="D9" s="52">
        <v>0</v>
      </c>
      <c r="E9" s="19">
        <f t="shared" si="1"/>
        <v>2</v>
      </c>
      <c r="F9" s="72">
        <f>+M30</f>
        <v>2000000</v>
      </c>
      <c r="G9" s="72">
        <f>+N7</f>
        <v>2000002</v>
      </c>
      <c r="H9" s="21">
        <f t="shared" si="2"/>
        <v>0</v>
      </c>
      <c r="L9" s="32" t="s">
        <v>186</v>
      </c>
      <c r="M9" s="16"/>
      <c r="N9" s="16"/>
      <c r="O9" s="32">
        <f t="shared" si="0"/>
        <v>9</v>
      </c>
    </row>
    <row r="10" spans="1:15" ht="12.75">
      <c r="A10" s="32" t="s">
        <v>158</v>
      </c>
      <c r="B10" s="19">
        <v>0</v>
      </c>
      <c r="C10" s="52">
        <v>0</v>
      </c>
      <c r="D10" s="52">
        <v>0</v>
      </c>
      <c r="E10" s="19">
        <f t="shared" si="1"/>
        <v>0</v>
      </c>
      <c r="F10" s="72"/>
      <c r="G10" s="72"/>
      <c r="H10" s="21">
        <f t="shared" si="2"/>
        <v>0</v>
      </c>
      <c r="K10" s="13"/>
      <c r="L10" s="13"/>
      <c r="M10" s="37"/>
      <c r="N10" s="37"/>
      <c r="O10" s="32">
        <f t="shared" si="0"/>
        <v>10</v>
      </c>
    </row>
    <row r="11" spans="1:15" ht="12.75">
      <c r="A11" s="32" t="s">
        <v>150</v>
      </c>
      <c r="B11" s="19">
        <v>0</v>
      </c>
      <c r="C11" s="52">
        <v>0</v>
      </c>
      <c r="D11" s="52">
        <v>0</v>
      </c>
      <c r="E11" s="19">
        <f t="shared" si="1"/>
        <v>0</v>
      </c>
      <c r="F11" s="73"/>
      <c r="G11" s="73"/>
      <c r="H11" s="21">
        <f t="shared" si="2"/>
        <v>0</v>
      </c>
      <c r="K11" s="11">
        <v>2</v>
      </c>
      <c r="L11" s="32" t="s">
        <v>194</v>
      </c>
      <c r="M11" s="16">
        <v>27897</v>
      </c>
      <c r="N11" s="16"/>
      <c r="O11" s="32">
        <f t="shared" si="0"/>
        <v>11</v>
      </c>
    </row>
    <row r="12" spans="1:15" ht="12.75">
      <c r="A12" s="32" t="s">
        <v>151</v>
      </c>
      <c r="B12" s="19">
        <v>0</v>
      </c>
      <c r="C12" s="52">
        <v>0</v>
      </c>
      <c r="D12" s="52">
        <v>0</v>
      </c>
      <c r="E12" s="19">
        <f t="shared" si="1"/>
        <v>0</v>
      </c>
      <c r="F12" s="72"/>
      <c r="G12" s="72"/>
      <c r="H12" s="21">
        <f t="shared" si="2"/>
        <v>0</v>
      </c>
      <c r="L12" s="32" t="s">
        <v>195</v>
      </c>
      <c r="M12" s="16"/>
      <c r="N12" s="16">
        <v>27897</v>
      </c>
      <c r="O12" s="32">
        <f t="shared" si="0"/>
        <v>12</v>
      </c>
    </row>
    <row r="13" spans="1:15" ht="12.75">
      <c r="A13" s="32"/>
      <c r="B13" s="37">
        <v>0</v>
      </c>
      <c r="C13" s="37">
        <v>0</v>
      </c>
      <c r="D13" s="37">
        <v>0</v>
      </c>
      <c r="E13" s="37">
        <v>0</v>
      </c>
      <c r="F13" s="72"/>
      <c r="G13" s="72"/>
      <c r="H13" s="55">
        <f t="shared" si="2"/>
        <v>0</v>
      </c>
      <c r="O13" s="32">
        <f t="shared" si="0"/>
        <v>13</v>
      </c>
    </row>
    <row r="14" spans="1:15" ht="12.75">
      <c r="A14" s="32"/>
      <c r="B14" s="19">
        <f>SUM(B7:B13)</f>
        <v>6276077</v>
      </c>
      <c r="C14" s="19">
        <f>SUM(C7:C13)</f>
        <v>113</v>
      </c>
      <c r="D14" s="19">
        <f>SUM(D7:D13)</f>
        <v>0</v>
      </c>
      <c r="E14" s="19">
        <f>SUM(E7:E13)</f>
        <v>6276190</v>
      </c>
      <c r="F14" s="72"/>
      <c r="G14" s="72"/>
      <c r="H14" s="21">
        <f>SUM(H7:H12)</f>
        <v>6276188</v>
      </c>
      <c r="L14" s="32" t="s">
        <v>187</v>
      </c>
      <c r="M14" s="16"/>
      <c r="N14" s="16"/>
      <c r="O14" s="32">
        <f t="shared" si="0"/>
        <v>14</v>
      </c>
    </row>
    <row r="15" spans="1:15" ht="12.75">
      <c r="A15" s="32" t="s">
        <v>46</v>
      </c>
      <c r="B15" s="19"/>
      <c r="C15" s="52"/>
      <c r="D15" s="52"/>
      <c r="E15" s="19"/>
      <c r="F15" s="72"/>
      <c r="G15" s="72"/>
      <c r="H15" s="21"/>
      <c r="L15" s="32" t="s">
        <v>188</v>
      </c>
      <c r="M15" s="16"/>
      <c r="N15" s="16"/>
      <c r="O15" s="32">
        <f t="shared" si="0"/>
        <v>15</v>
      </c>
    </row>
    <row r="16" spans="1:15" ht="12.75">
      <c r="A16" s="63" t="s">
        <v>152</v>
      </c>
      <c r="B16" s="21">
        <v>383957</v>
      </c>
      <c r="C16" s="21">
        <v>0</v>
      </c>
      <c r="D16" s="21">
        <v>0</v>
      </c>
      <c r="E16" s="19">
        <f aca="true" t="shared" si="3" ref="E16:E37">SUM(B16:D16)</f>
        <v>383957</v>
      </c>
      <c r="F16" s="72"/>
      <c r="G16" s="72"/>
      <c r="H16" s="21">
        <f>+E16+F16-G16</f>
        <v>383957</v>
      </c>
      <c r="I16" s="27"/>
      <c r="K16" s="13"/>
      <c r="L16" s="35"/>
      <c r="M16" s="37"/>
      <c r="N16" s="37"/>
      <c r="O16" s="32">
        <f t="shared" si="0"/>
        <v>16</v>
      </c>
    </row>
    <row r="17" spans="1:15" ht="12.75">
      <c r="A17" s="63" t="s">
        <v>12</v>
      </c>
      <c r="B17" s="10">
        <v>57852</v>
      </c>
      <c r="C17" s="21">
        <f>-2112+2112</f>
        <v>0</v>
      </c>
      <c r="D17" s="21">
        <v>0</v>
      </c>
      <c r="E17" s="19">
        <f t="shared" si="3"/>
        <v>57852</v>
      </c>
      <c r="F17" s="72"/>
      <c r="G17" s="72"/>
      <c r="H17" s="21">
        <f aca="true" t="shared" si="4" ref="H17:H23">+E17+F17-G17</f>
        <v>57852</v>
      </c>
      <c r="K17" s="11">
        <v>3</v>
      </c>
      <c r="L17" s="32" t="s">
        <v>192</v>
      </c>
      <c r="M17" s="16">
        <v>1951227</v>
      </c>
      <c r="N17" s="16"/>
      <c r="O17" s="32">
        <f t="shared" si="0"/>
        <v>17</v>
      </c>
    </row>
    <row r="18" spans="1:15" ht="12.75">
      <c r="A18" s="32" t="s">
        <v>13</v>
      </c>
      <c r="B18" s="19">
        <v>714459</v>
      </c>
      <c r="C18" s="19">
        <v>453</v>
      </c>
      <c r="D18" s="21">
        <v>0</v>
      </c>
      <c r="E18" s="19">
        <f t="shared" si="3"/>
        <v>714912</v>
      </c>
      <c r="F18" s="72"/>
      <c r="G18" s="72"/>
      <c r="H18" s="21">
        <f t="shared" si="4"/>
        <v>714912</v>
      </c>
      <c r="L18" s="32" t="s">
        <v>191</v>
      </c>
      <c r="M18" s="16"/>
      <c r="N18" s="16">
        <v>1949527</v>
      </c>
      <c r="O18" s="32">
        <f t="shared" si="0"/>
        <v>18</v>
      </c>
    </row>
    <row r="19" spans="1:15" ht="12.75">
      <c r="A19" s="32" t="s">
        <v>171</v>
      </c>
      <c r="B19" s="19">
        <v>0</v>
      </c>
      <c r="C19" s="19">
        <v>677070</v>
      </c>
      <c r="D19" s="21">
        <v>0</v>
      </c>
      <c r="E19" s="19">
        <f t="shared" si="3"/>
        <v>677070</v>
      </c>
      <c r="F19" s="74"/>
      <c r="G19" s="74">
        <f>+N25</f>
        <v>677070</v>
      </c>
      <c r="H19" s="21">
        <f t="shared" si="4"/>
        <v>0</v>
      </c>
      <c r="L19" s="32" t="s">
        <v>253</v>
      </c>
      <c r="M19" s="16"/>
      <c r="N19" s="16">
        <f>M17-N18</f>
        <v>1700</v>
      </c>
      <c r="O19" s="32">
        <f t="shared" si="0"/>
        <v>19</v>
      </c>
    </row>
    <row r="20" spans="1:15" ht="12.75">
      <c r="A20" s="32" t="s">
        <v>165</v>
      </c>
      <c r="B20" s="19">
        <v>18304551</v>
      </c>
      <c r="C20" s="19">
        <v>1949527</v>
      </c>
      <c r="D20" s="21">
        <v>0</v>
      </c>
      <c r="E20" s="19">
        <f t="shared" si="3"/>
        <v>20254078</v>
      </c>
      <c r="F20" s="74">
        <f>+M24</f>
        <v>677070</v>
      </c>
      <c r="G20" s="76">
        <f>+N18</f>
        <v>1949527</v>
      </c>
      <c r="H20" s="21">
        <f t="shared" si="4"/>
        <v>18981621</v>
      </c>
      <c r="M20" s="16"/>
      <c r="N20" s="16"/>
      <c r="O20" s="32">
        <f t="shared" si="0"/>
        <v>20</v>
      </c>
    </row>
    <row r="21" spans="1:15" ht="12.75">
      <c r="A21" s="32" t="s">
        <v>166</v>
      </c>
      <c r="B21" s="19">
        <v>27897</v>
      </c>
      <c r="C21" s="40">
        <v>0</v>
      </c>
      <c r="D21" s="21">
        <v>0</v>
      </c>
      <c r="E21" s="19">
        <f t="shared" si="3"/>
        <v>27897</v>
      </c>
      <c r="F21" s="74"/>
      <c r="G21" s="74">
        <f>+N12</f>
        <v>27897</v>
      </c>
      <c r="H21" s="21">
        <f t="shared" si="4"/>
        <v>0</v>
      </c>
      <c r="L21" s="32" t="s">
        <v>187</v>
      </c>
      <c r="M21" s="16"/>
      <c r="N21" s="16"/>
      <c r="O21" s="32">
        <f t="shared" si="0"/>
        <v>21</v>
      </c>
    </row>
    <row r="22" spans="1:15" ht="12.75">
      <c r="A22" s="32" t="s">
        <v>167</v>
      </c>
      <c r="B22" s="19">
        <v>14</v>
      </c>
      <c r="C22" s="19">
        <v>0</v>
      </c>
      <c r="D22" s="21">
        <v>0</v>
      </c>
      <c r="E22" s="19">
        <f t="shared" si="3"/>
        <v>14</v>
      </c>
      <c r="F22" s="74"/>
      <c r="G22" s="74"/>
      <c r="H22" s="21">
        <f t="shared" si="4"/>
        <v>14</v>
      </c>
      <c r="L22" s="32" t="s">
        <v>190</v>
      </c>
      <c r="M22" s="16"/>
      <c r="N22" s="16"/>
      <c r="O22" s="32">
        <f t="shared" si="0"/>
        <v>22</v>
      </c>
    </row>
    <row r="23" spans="1:15" ht="12.75">
      <c r="A23" s="32" t="s">
        <v>159</v>
      </c>
      <c r="B23" s="19">
        <v>89572</v>
      </c>
      <c r="C23" s="37">
        <v>28306</v>
      </c>
      <c r="D23" s="55">
        <v>2</v>
      </c>
      <c r="E23" s="19">
        <f t="shared" si="3"/>
        <v>117880</v>
      </c>
      <c r="F23" s="74"/>
      <c r="G23" s="74"/>
      <c r="H23" s="21">
        <f t="shared" si="4"/>
        <v>117880</v>
      </c>
      <c r="K23" s="13"/>
      <c r="L23" s="35"/>
      <c r="M23" s="37"/>
      <c r="N23" s="37"/>
      <c r="O23" s="32">
        <f t="shared" si="0"/>
        <v>23</v>
      </c>
    </row>
    <row r="24" spans="1:15" ht="12.75">
      <c r="A24" s="32"/>
      <c r="B24" s="20">
        <f>SUM(B16:B23)</f>
        <v>19578302</v>
      </c>
      <c r="C24" s="20">
        <f>SUM(C16:C23)</f>
        <v>2655356</v>
      </c>
      <c r="D24" s="20">
        <f>SUM(D16:D23)</f>
        <v>2</v>
      </c>
      <c r="E24" s="20">
        <f t="shared" si="3"/>
        <v>22233660</v>
      </c>
      <c r="F24" s="74"/>
      <c r="G24" s="74"/>
      <c r="H24" s="71">
        <f>SUM(H16:H23)</f>
        <v>20256236</v>
      </c>
      <c r="K24" s="11">
        <v>4</v>
      </c>
      <c r="L24" s="32" t="s">
        <v>189</v>
      </c>
      <c r="M24" s="16">
        <v>677070</v>
      </c>
      <c r="N24" s="16"/>
      <c r="O24" s="32">
        <f t="shared" si="0"/>
        <v>24</v>
      </c>
    </row>
    <row r="25" spans="1:15" ht="12.75">
      <c r="A25" s="32" t="s">
        <v>14</v>
      </c>
      <c r="B25" s="19"/>
      <c r="C25" s="19"/>
      <c r="D25" s="19"/>
      <c r="E25" s="62"/>
      <c r="F25" s="74"/>
      <c r="G25" s="74"/>
      <c r="H25" s="21"/>
      <c r="L25" s="32" t="s">
        <v>193</v>
      </c>
      <c r="M25" s="16"/>
      <c r="N25" s="16">
        <v>677070</v>
      </c>
      <c r="O25" s="32">
        <f t="shared" si="0"/>
        <v>25</v>
      </c>
    </row>
    <row r="26" spans="1:15" ht="12.75">
      <c r="A26" s="32" t="s">
        <v>15</v>
      </c>
      <c r="B26" s="19">
        <f>362278+1404112</f>
        <v>1766390</v>
      </c>
      <c r="C26" s="52">
        <v>2112</v>
      </c>
      <c r="D26" s="52">
        <v>0</v>
      </c>
      <c r="E26" s="19">
        <f t="shared" si="3"/>
        <v>1768502</v>
      </c>
      <c r="F26" s="74"/>
      <c r="G26" s="74"/>
      <c r="H26" s="21">
        <f>+E26-F26+G26</f>
        <v>1768502</v>
      </c>
      <c r="L26" s="32"/>
      <c r="M26" s="16"/>
      <c r="N26" s="16"/>
      <c r="O26" s="32">
        <f t="shared" si="0"/>
        <v>26</v>
      </c>
    </row>
    <row r="27" spans="1:15" ht="12.75">
      <c r="A27" s="32" t="s">
        <v>49</v>
      </c>
      <c r="B27" s="19">
        <f>1972621+10884242-1337228-21074-999180</f>
        <v>10499381</v>
      </c>
      <c r="C27" s="19">
        <v>112677</v>
      </c>
      <c r="D27" s="19">
        <v>3160</v>
      </c>
      <c r="E27" s="19">
        <f t="shared" si="3"/>
        <v>10615218</v>
      </c>
      <c r="F27" s="74"/>
      <c r="G27" s="74">
        <f>+N19</f>
        <v>1700</v>
      </c>
      <c r="H27" s="21">
        <f aca="true" t="shared" si="5" ref="H27:H37">+E27-F27+G27</f>
        <v>10616918</v>
      </c>
      <c r="L27" s="32" t="s">
        <v>196</v>
      </c>
      <c r="M27" s="16"/>
      <c r="N27" s="16"/>
      <c r="O27" s="32">
        <f t="shared" si="0"/>
        <v>27</v>
      </c>
    </row>
    <row r="28" spans="1:15" ht="12.75">
      <c r="A28" s="32" t="s">
        <v>160</v>
      </c>
      <c r="B28" s="19">
        <v>0</v>
      </c>
      <c r="C28" s="19">
        <v>0</v>
      </c>
      <c r="D28" s="52">
        <v>0</v>
      </c>
      <c r="E28" s="19">
        <f t="shared" si="3"/>
        <v>0</v>
      </c>
      <c r="F28" s="74"/>
      <c r="G28" s="74"/>
      <c r="H28" s="21">
        <f t="shared" si="5"/>
        <v>0</v>
      </c>
      <c r="L28" s="32" t="s">
        <v>197</v>
      </c>
      <c r="M28" s="16"/>
      <c r="N28" s="16"/>
      <c r="O28" s="32">
        <f t="shared" si="0"/>
        <v>28</v>
      </c>
    </row>
    <row r="29" spans="1:15" ht="12.75">
      <c r="A29" s="32" t="s">
        <v>172</v>
      </c>
      <c r="B29" s="19">
        <v>0</v>
      </c>
      <c r="C29" s="19">
        <v>0</v>
      </c>
      <c r="D29" s="52">
        <v>4190</v>
      </c>
      <c r="E29" s="19">
        <f t="shared" si="3"/>
        <v>4190</v>
      </c>
      <c r="F29" s="74"/>
      <c r="G29" s="74"/>
      <c r="H29" s="21">
        <f t="shared" si="5"/>
        <v>4190</v>
      </c>
      <c r="K29" s="13"/>
      <c r="L29" s="35"/>
      <c r="M29" s="37"/>
      <c r="N29" s="37"/>
      <c r="O29" s="32">
        <f t="shared" si="0"/>
        <v>29</v>
      </c>
    </row>
    <row r="30" spans="1:15" ht="12.75">
      <c r="A30" s="32" t="s">
        <v>173</v>
      </c>
      <c r="B30" s="19">
        <v>0</v>
      </c>
      <c r="C30" s="19">
        <v>0</v>
      </c>
      <c r="D30" s="52">
        <v>27897</v>
      </c>
      <c r="E30" s="19">
        <f t="shared" si="3"/>
        <v>27897</v>
      </c>
      <c r="F30" s="74">
        <f>+M11</f>
        <v>27897</v>
      </c>
      <c r="G30" s="74"/>
      <c r="H30" s="21">
        <f t="shared" si="5"/>
        <v>0</v>
      </c>
      <c r="K30" s="11">
        <v>5</v>
      </c>
      <c r="L30" s="32" t="s">
        <v>198</v>
      </c>
      <c r="M30" s="19">
        <v>2000000</v>
      </c>
      <c r="N30" s="19"/>
      <c r="O30" s="32">
        <f t="shared" si="0"/>
        <v>30</v>
      </c>
    </row>
    <row r="31" spans="1:15" ht="12.75">
      <c r="A31" s="32" t="s">
        <v>161</v>
      </c>
      <c r="B31" s="19">
        <v>1951227</v>
      </c>
      <c r="C31" s="19">
        <v>0</v>
      </c>
      <c r="D31" s="52">
        <v>0</v>
      </c>
      <c r="E31" s="19">
        <f t="shared" si="3"/>
        <v>1951227</v>
      </c>
      <c r="F31" s="74">
        <f>+M17</f>
        <v>1951227</v>
      </c>
      <c r="G31" s="74"/>
      <c r="H31" s="21">
        <f t="shared" si="5"/>
        <v>0</v>
      </c>
      <c r="L31" s="32" t="s">
        <v>199</v>
      </c>
      <c r="M31" s="19"/>
      <c r="N31" s="19">
        <v>2000000</v>
      </c>
      <c r="O31" s="32">
        <f t="shared" si="0"/>
        <v>31</v>
      </c>
    </row>
    <row r="32" spans="1:15" ht="12.75">
      <c r="A32" s="32" t="s">
        <v>168</v>
      </c>
      <c r="B32" s="19">
        <f>388706+167735+28238</f>
        <v>584679</v>
      </c>
      <c r="C32" s="19">
        <f>322+71944</f>
        <v>72266</v>
      </c>
      <c r="D32" s="52">
        <v>0</v>
      </c>
      <c r="E32" s="19">
        <f t="shared" si="3"/>
        <v>656945</v>
      </c>
      <c r="F32" s="72"/>
      <c r="G32" s="72"/>
      <c r="H32" s="21">
        <f t="shared" si="5"/>
        <v>656945</v>
      </c>
      <c r="L32" s="32"/>
      <c r="M32" s="16"/>
      <c r="N32" s="16"/>
      <c r="O32" s="32">
        <f t="shared" si="0"/>
        <v>32</v>
      </c>
    </row>
    <row r="33" spans="1:15" ht="12.75">
      <c r="A33" s="32" t="s">
        <v>169</v>
      </c>
      <c r="B33" s="19">
        <v>0</v>
      </c>
      <c r="C33" s="19">
        <v>0</v>
      </c>
      <c r="D33" s="52">
        <v>0</v>
      </c>
      <c r="E33" s="19">
        <f t="shared" si="3"/>
        <v>0</v>
      </c>
      <c r="F33" s="72"/>
      <c r="G33" s="72"/>
      <c r="H33" s="21">
        <f t="shared" si="5"/>
        <v>0</v>
      </c>
      <c r="L33" s="32" t="s">
        <v>200</v>
      </c>
      <c r="M33" s="16"/>
      <c r="N33" s="16"/>
      <c r="O33" s="32">
        <f t="shared" si="0"/>
        <v>33</v>
      </c>
    </row>
    <row r="34" spans="1:15" ht="12.75">
      <c r="A34" s="70" t="s">
        <v>16</v>
      </c>
      <c r="B34" s="19">
        <v>1337228</v>
      </c>
      <c r="C34" s="52">
        <v>0</v>
      </c>
      <c r="D34" s="52">
        <v>0</v>
      </c>
      <c r="E34" s="19">
        <f t="shared" si="3"/>
        <v>1337228</v>
      </c>
      <c r="F34" s="72"/>
      <c r="G34" s="72"/>
      <c r="H34" s="21">
        <f t="shared" si="5"/>
        <v>1337228</v>
      </c>
      <c r="L34" s="32" t="s">
        <v>266</v>
      </c>
      <c r="M34" s="16"/>
      <c r="N34" s="16"/>
      <c r="O34" s="32">
        <f t="shared" si="0"/>
        <v>34</v>
      </c>
    </row>
    <row r="35" spans="1:15" ht="12.75">
      <c r="A35" s="70" t="s">
        <v>153</v>
      </c>
      <c r="B35" s="19">
        <f>98119+21074</f>
        <v>119193</v>
      </c>
      <c r="C35" s="52">
        <v>0</v>
      </c>
      <c r="D35" s="52">
        <v>0</v>
      </c>
      <c r="E35" s="19">
        <f>SUM(B35:D35)</f>
        <v>119193</v>
      </c>
      <c r="F35" s="72"/>
      <c r="G35" s="72"/>
      <c r="H35" s="21">
        <f t="shared" si="5"/>
        <v>119193</v>
      </c>
      <c r="K35" s="13"/>
      <c r="L35" s="35"/>
      <c r="O35" s="34"/>
    </row>
    <row r="36" spans="1:15" ht="12.75">
      <c r="A36" s="70" t="s">
        <v>51</v>
      </c>
      <c r="B36" s="19">
        <v>7310551</v>
      </c>
      <c r="C36" s="52">
        <v>0</v>
      </c>
      <c r="D36" s="52">
        <v>0</v>
      </c>
      <c r="E36" s="19">
        <f t="shared" si="3"/>
        <v>7310551</v>
      </c>
      <c r="F36" s="72"/>
      <c r="G36" s="72"/>
      <c r="H36" s="21">
        <f t="shared" si="5"/>
        <v>7310551</v>
      </c>
      <c r="L36" s="70"/>
      <c r="M36" s="62"/>
      <c r="N36" s="62"/>
      <c r="O36" s="34"/>
    </row>
    <row r="37" spans="1:15" ht="13.5" thickBot="1">
      <c r="A37" s="70" t="s">
        <v>17</v>
      </c>
      <c r="B37" s="19">
        <v>999180</v>
      </c>
      <c r="C37" s="51">
        <v>0</v>
      </c>
      <c r="D37" s="52">
        <v>0</v>
      </c>
      <c r="E37" s="19">
        <f t="shared" si="3"/>
        <v>999180</v>
      </c>
      <c r="F37" s="72"/>
      <c r="G37" s="72"/>
      <c r="H37" s="21">
        <f t="shared" si="5"/>
        <v>999180</v>
      </c>
      <c r="L37" s="70"/>
      <c r="M37" s="46">
        <f>SUM(M6:M36)</f>
        <v>6656196</v>
      </c>
      <c r="N37" s="46">
        <f>SUM(N6:N36)</f>
        <v>6656196</v>
      </c>
      <c r="O37" s="34"/>
    </row>
    <row r="38" spans="1:15" ht="13.5" thickTop="1">
      <c r="A38" s="32"/>
      <c r="B38" s="20">
        <f>SUM(B26:B37)</f>
        <v>24567829</v>
      </c>
      <c r="C38" s="20">
        <f>SUM(C26:C37)</f>
        <v>187055</v>
      </c>
      <c r="D38" s="20">
        <f>SUM(D26:D37)</f>
        <v>35247</v>
      </c>
      <c r="E38" s="20">
        <f>SUM(E26:E37)</f>
        <v>24790131</v>
      </c>
      <c r="F38" s="72"/>
      <c r="G38" s="72"/>
      <c r="H38" s="71">
        <f>SUM(H26:H37)</f>
        <v>22812707</v>
      </c>
      <c r="L38" s="32"/>
      <c r="O38" s="34"/>
    </row>
    <row r="39" spans="1:15" ht="12.75">
      <c r="A39" s="32" t="s">
        <v>170</v>
      </c>
      <c r="B39" s="19">
        <f>+B24-B38</f>
        <v>-4989527</v>
      </c>
      <c r="C39" s="19">
        <f>+C24-C38</f>
        <v>2468301</v>
      </c>
      <c r="D39" s="19">
        <f>+D24-D38</f>
        <v>-35245</v>
      </c>
      <c r="E39" s="19">
        <f>+E24-E38</f>
        <v>-2556471</v>
      </c>
      <c r="F39" s="72"/>
      <c r="G39" s="72"/>
      <c r="H39" s="19">
        <f>+H24-H38</f>
        <v>-2556471</v>
      </c>
      <c r="L39" s="32"/>
      <c r="O39" s="34"/>
    </row>
    <row r="40" spans="1:15" ht="12.75">
      <c r="A40" s="32"/>
      <c r="B40" s="19"/>
      <c r="C40" s="52"/>
      <c r="D40" s="52"/>
      <c r="E40" s="19"/>
      <c r="F40" s="72"/>
      <c r="G40" s="72"/>
      <c r="H40" s="21"/>
      <c r="L40" s="32"/>
      <c r="M40" s="19"/>
      <c r="N40" s="19"/>
      <c r="O40" s="34"/>
    </row>
    <row r="41" spans="1:15" ht="12.75">
      <c r="A41" s="32" t="s">
        <v>154</v>
      </c>
      <c r="B41" s="19"/>
      <c r="C41" s="52"/>
      <c r="D41" s="52"/>
      <c r="E41" s="19"/>
      <c r="F41" s="72"/>
      <c r="G41" s="72"/>
      <c r="H41" s="21"/>
      <c r="L41" s="32"/>
      <c r="M41" s="19"/>
      <c r="N41" s="19"/>
      <c r="O41" s="34"/>
    </row>
    <row r="42" spans="1:15" ht="12.75">
      <c r="A42" s="32" t="s">
        <v>153</v>
      </c>
      <c r="B42" s="40">
        <v>0</v>
      </c>
      <c r="C42" s="51">
        <v>0</v>
      </c>
      <c r="D42" s="52">
        <v>0</v>
      </c>
      <c r="E42" s="37">
        <f>-SUM(B42:D42)</f>
        <v>0</v>
      </c>
      <c r="F42" s="72"/>
      <c r="G42" s="72"/>
      <c r="H42" s="21">
        <f>+E42+F42-G42</f>
        <v>0</v>
      </c>
      <c r="L42" s="32"/>
      <c r="M42" s="19"/>
      <c r="N42" s="19"/>
      <c r="O42" s="34"/>
    </row>
    <row r="43" spans="1:15" ht="12.75">
      <c r="A43" s="32"/>
      <c r="B43" s="20">
        <f>+B42</f>
        <v>0</v>
      </c>
      <c r="C43" s="20">
        <f>+C42</f>
        <v>0</v>
      </c>
      <c r="D43" s="20">
        <f>+D42</f>
        <v>0</v>
      </c>
      <c r="E43" s="20">
        <f>+E42</f>
        <v>0</v>
      </c>
      <c r="F43" s="72"/>
      <c r="G43" s="72"/>
      <c r="H43" s="71">
        <f>+H42</f>
        <v>0</v>
      </c>
      <c r="L43" s="32"/>
      <c r="M43" s="19"/>
      <c r="N43" s="19"/>
      <c r="O43" s="34"/>
    </row>
    <row r="44" spans="1:15" ht="13.5" thickBot="1">
      <c r="A44" s="32"/>
      <c r="B44" s="23">
        <f>+B14+B39+B43</f>
        <v>1286550</v>
      </c>
      <c r="C44" s="23">
        <f>+C14+C39+C43</f>
        <v>2468414</v>
      </c>
      <c r="D44" s="23">
        <f>+D14+D39+D43</f>
        <v>-35245</v>
      </c>
      <c r="E44" s="23">
        <f>+E14+E39+E43</f>
        <v>3719719</v>
      </c>
      <c r="F44" s="72"/>
      <c r="G44" s="72"/>
      <c r="H44" s="23">
        <f>+H14+H39+H43</f>
        <v>3719717</v>
      </c>
      <c r="L44" s="32"/>
      <c r="M44" s="19"/>
      <c r="N44" s="19"/>
      <c r="O44" s="34"/>
    </row>
    <row r="45" spans="1:15" ht="13.5" thickTop="1">
      <c r="A45" s="32" t="s">
        <v>155</v>
      </c>
      <c r="B45" s="19"/>
      <c r="C45" s="52"/>
      <c r="D45" s="19"/>
      <c r="E45" s="19"/>
      <c r="F45" s="72"/>
      <c r="G45" s="72"/>
      <c r="H45" s="21"/>
      <c r="L45" s="32"/>
      <c r="M45" s="19"/>
      <c r="N45" s="19"/>
      <c r="O45" s="34"/>
    </row>
    <row r="46" spans="1:15" ht="12.75">
      <c r="A46" s="32" t="s">
        <v>162</v>
      </c>
      <c r="B46" s="52"/>
      <c r="C46" s="52"/>
      <c r="D46" s="19"/>
      <c r="E46" s="19"/>
      <c r="F46" s="72"/>
      <c r="G46" s="72"/>
      <c r="H46" s="21"/>
      <c r="L46" s="32"/>
      <c r="M46" s="19"/>
      <c r="N46" s="19"/>
      <c r="O46" s="34"/>
    </row>
    <row r="47" spans="1:15" ht="12.75">
      <c r="A47" s="32" t="s">
        <v>163</v>
      </c>
      <c r="B47" s="19">
        <v>24979500</v>
      </c>
      <c r="C47" s="19">
        <v>2000000</v>
      </c>
      <c r="D47" s="19">
        <v>2</v>
      </c>
      <c r="E47" s="19">
        <f>SUM(B47:D47)</f>
        <v>26979502</v>
      </c>
      <c r="F47" s="72">
        <f>+M6</f>
        <v>2000002</v>
      </c>
      <c r="G47" s="72"/>
      <c r="H47" s="21">
        <f>+E47-F47+G47</f>
        <v>24979500</v>
      </c>
      <c r="L47" s="32"/>
      <c r="M47" s="19"/>
      <c r="N47" s="19"/>
      <c r="O47" s="34"/>
    </row>
    <row r="48" spans="1:15" ht="12.75">
      <c r="A48" s="32" t="s">
        <v>164</v>
      </c>
      <c r="B48" s="19">
        <v>0</v>
      </c>
      <c r="C48" s="19">
        <v>0</v>
      </c>
      <c r="D48" s="19">
        <v>0</v>
      </c>
      <c r="E48" s="19">
        <f>SUM(B48:D48)</f>
        <v>0</v>
      </c>
      <c r="F48" s="72"/>
      <c r="G48" s="72"/>
      <c r="H48" s="21">
        <f>+E48-F48+G48</f>
        <v>0</v>
      </c>
      <c r="L48" s="32"/>
      <c r="M48" s="19"/>
      <c r="N48" s="19"/>
      <c r="O48" s="34"/>
    </row>
    <row r="49" spans="1:15" ht="12.75">
      <c r="A49" s="32" t="s">
        <v>156</v>
      </c>
      <c r="B49" s="19">
        <v>0</v>
      </c>
      <c r="C49" s="19">
        <v>0</v>
      </c>
      <c r="D49" s="52">
        <v>0</v>
      </c>
      <c r="E49" s="19">
        <f>SUM(B49:D49)</f>
        <v>0</v>
      </c>
      <c r="F49" s="72"/>
      <c r="G49" s="72"/>
      <c r="H49" s="21">
        <f>+E49-F49+G49</f>
        <v>0</v>
      </c>
      <c r="L49" s="32"/>
      <c r="M49" s="19"/>
      <c r="N49" s="19"/>
      <c r="O49" s="34"/>
    </row>
    <row r="50" spans="1:23" ht="12.75">
      <c r="A50" s="32" t="s">
        <v>157</v>
      </c>
      <c r="B50" s="19">
        <f>+B84</f>
        <v>-23692950</v>
      </c>
      <c r="C50" s="19">
        <f>+C84</f>
        <v>468414</v>
      </c>
      <c r="D50" s="19">
        <f>+D84</f>
        <v>-35247</v>
      </c>
      <c r="E50" s="19">
        <f>SUM(B50:D50)</f>
        <v>-23259783</v>
      </c>
      <c r="F50" s="72">
        <f>+F84</f>
        <v>0</v>
      </c>
      <c r="G50" s="72">
        <f>+G84</f>
        <v>2000000</v>
      </c>
      <c r="H50" s="21">
        <f>+E50-F50+G50</f>
        <v>-21259783</v>
      </c>
      <c r="I50" s="12"/>
      <c r="J50" s="12"/>
      <c r="L50" s="32"/>
      <c r="M50" s="19"/>
      <c r="N50" s="19"/>
      <c r="O50" s="34"/>
      <c r="P50" s="12"/>
      <c r="Q50" s="12"/>
      <c r="R50" s="12"/>
      <c r="S50" s="12"/>
      <c r="T50" s="12"/>
      <c r="U50" s="12"/>
      <c r="V50" s="12"/>
      <c r="W50" s="12"/>
    </row>
    <row r="51" spans="1:15" ht="12.75">
      <c r="A51" s="32" t="s">
        <v>184</v>
      </c>
      <c r="B51" s="37">
        <v>0</v>
      </c>
      <c r="C51" s="37">
        <v>0</v>
      </c>
      <c r="D51" s="37">
        <v>0</v>
      </c>
      <c r="E51" s="37">
        <v>0</v>
      </c>
      <c r="F51" s="72"/>
      <c r="G51" s="72"/>
      <c r="H51" s="55">
        <f>+E51-F51+G51</f>
        <v>0</v>
      </c>
      <c r="L51" s="32"/>
      <c r="M51" s="19"/>
      <c r="N51" s="19"/>
      <c r="O51" s="34"/>
    </row>
    <row r="52" spans="1:15" ht="12.75">
      <c r="A52" s="32"/>
      <c r="B52" s="19">
        <f>SUM(B47:B51)</f>
        <v>1286550</v>
      </c>
      <c r="C52" s="19">
        <f>SUM(C47:C51)</f>
        <v>2468414</v>
      </c>
      <c r="D52" s="19">
        <f>SUM(D47:D51)</f>
        <v>-35245</v>
      </c>
      <c r="E52" s="19">
        <f>SUM(E47:E51)</f>
        <v>3719719</v>
      </c>
      <c r="F52" s="72"/>
      <c r="G52" s="72"/>
      <c r="H52" s="21">
        <f>SUM(H47:H51)</f>
        <v>3719717</v>
      </c>
      <c r="L52" s="32"/>
      <c r="M52" s="19"/>
      <c r="N52" s="19"/>
      <c r="O52" s="34"/>
    </row>
    <row r="53" spans="1:15" ht="12.75">
      <c r="A53" s="32" t="s">
        <v>11</v>
      </c>
      <c r="B53" s="19">
        <v>0</v>
      </c>
      <c r="C53" s="19">
        <v>0</v>
      </c>
      <c r="D53" s="51">
        <v>0</v>
      </c>
      <c r="E53" s="19">
        <v>0</v>
      </c>
      <c r="F53" s="72"/>
      <c r="G53" s="72"/>
      <c r="H53" s="21">
        <f>+E53-F53+G53</f>
        <v>0</v>
      </c>
      <c r="L53" s="32"/>
      <c r="M53" s="19"/>
      <c r="N53" s="19"/>
      <c r="O53" s="34"/>
    </row>
    <row r="54" spans="1:15" ht="13.5" thickBot="1">
      <c r="A54" s="32"/>
      <c r="B54" s="23">
        <f>SUM(B52:B53)</f>
        <v>1286550</v>
      </c>
      <c r="C54" s="23">
        <f>SUM(C52:C53)</f>
        <v>2468414</v>
      </c>
      <c r="D54" s="23">
        <f>SUM(D52:D53)</f>
        <v>-35245</v>
      </c>
      <c r="E54" s="23">
        <f>SUM(E52:E53)</f>
        <v>3719719</v>
      </c>
      <c r="F54" s="75">
        <f>SUM(F7:F53)</f>
        <v>6656196</v>
      </c>
      <c r="G54" s="75">
        <f>SUM(G7:G53)</f>
        <v>6656196</v>
      </c>
      <c r="H54" s="24">
        <f>SUM(H52:H53)</f>
        <v>3719717</v>
      </c>
      <c r="L54" s="32"/>
      <c r="M54" s="19"/>
      <c r="N54" s="19"/>
      <c r="O54" s="34"/>
    </row>
    <row r="55" spans="1:15" ht="13.5" thickTop="1">
      <c r="A55" s="32"/>
      <c r="B55" s="19">
        <f>+B44-B54</f>
        <v>0</v>
      </c>
      <c r="C55" s="19">
        <f>+C44-C54</f>
        <v>0</v>
      </c>
      <c r="D55" s="19">
        <f>+D44-D54</f>
        <v>0</v>
      </c>
      <c r="E55" s="19">
        <f>+E44-E54</f>
        <v>0</v>
      </c>
      <c r="F55" s="19"/>
      <c r="G55" s="19"/>
      <c r="H55" s="21">
        <f>+H44-H54</f>
        <v>0</v>
      </c>
      <c r="L55" s="32"/>
      <c r="M55" s="19"/>
      <c r="N55" s="19"/>
      <c r="O55" s="34"/>
    </row>
    <row r="56" spans="1:15" ht="12.75">
      <c r="A56" s="32"/>
      <c r="B56" s="19"/>
      <c r="C56" s="19"/>
      <c r="D56" s="19"/>
      <c r="E56" s="19"/>
      <c r="F56" s="19"/>
      <c r="G56" s="19"/>
      <c r="H56" s="21"/>
      <c r="L56" s="32"/>
      <c r="M56" s="19"/>
      <c r="N56" s="19"/>
      <c r="O56" s="34"/>
    </row>
    <row r="57" spans="1:15" ht="12.75">
      <c r="A57" s="32" t="s">
        <v>18</v>
      </c>
      <c r="B57" s="32"/>
      <c r="C57" s="32"/>
      <c r="D57" s="32"/>
      <c r="E57" s="32"/>
      <c r="F57" s="32"/>
      <c r="G57" s="32"/>
      <c r="H57" s="32"/>
      <c r="L57" s="32"/>
      <c r="M57" s="19"/>
      <c r="N57" s="19"/>
      <c r="O57" s="34"/>
    </row>
    <row r="58" spans="1:15" ht="12.75">
      <c r="A58" s="32" t="s">
        <v>19</v>
      </c>
      <c r="B58" s="32"/>
      <c r="C58" s="32"/>
      <c r="D58" s="32"/>
      <c r="E58" s="32"/>
      <c r="F58" s="32"/>
      <c r="G58" s="32"/>
      <c r="H58" s="32"/>
      <c r="L58" s="32"/>
      <c r="M58" s="19"/>
      <c r="N58" s="19"/>
      <c r="O58" s="34"/>
    </row>
    <row r="59" spans="1:15" ht="12.75">
      <c r="A59" s="32" t="s">
        <v>380</v>
      </c>
      <c r="B59" s="32"/>
      <c r="C59" s="32"/>
      <c r="D59" s="32"/>
      <c r="E59" s="32"/>
      <c r="F59" s="32"/>
      <c r="G59" s="32"/>
      <c r="H59" s="33" t="s">
        <v>2</v>
      </c>
      <c r="L59" s="32"/>
      <c r="M59" s="19"/>
      <c r="N59" s="19"/>
      <c r="O59" s="34"/>
    </row>
    <row r="60" spans="1:15" ht="12.75">
      <c r="A60" s="32"/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20</v>
      </c>
      <c r="L60" s="32"/>
      <c r="M60" s="19"/>
      <c r="N60" s="19"/>
      <c r="O60" s="34"/>
    </row>
    <row r="61" spans="1:15" ht="12.75">
      <c r="A61" s="32"/>
      <c r="B61" s="33" t="s">
        <v>10</v>
      </c>
      <c r="C61" s="33" t="s">
        <v>10</v>
      </c>
      <c r="D61" s="33" t="s">
        <v>10</v>
      </c>
      <c r="E61" s="33" t="s">
        <v>10</v>
      </c>
      <c r="F61" s="33" t="s">
        <v>10</v>
      </c>
      <c r="G61" s="33" t="s">
        <v>10</v>
      </c>
      <c r="H61" s="33" t="s">
        <v>10</v>
      </c>
      <c r="L61" s="32"/>
      <c r="M61" s="19"/>
      <c r="N61" s="19"/>
      <c r="O61" s="34"/>
    </row>
    <row r="62" spans="1:15" ht="13.5" thickBot="1">
      <c r="A62" s="32" t="s">
        <v>21</v>
      </c>
      <c r="B62" s="46">
        <v>0</v>
      </c>
      <c r="C62" s="47">
        <v>0</v>
      </c>
      <c r="D62" s="47">
        <v>0</v>
      </c>
      <c r="E62" s="46">
        <f>SUM(B62:D62)</f>
        <v>0</v>
      </c>
      <c r="F62" s="16"/>
      <c r="G62" s="16"/>
      <c r="H62" s="48">
        <f>+E62+F62-G62</f>
        <v>0</v>
      </c>
      <c r="L62" s="32"/>
      <c r="M62" s="19"/>
      <c r="N62" s="19"/>
      <c r="O62" s="34"/>
    </row>
    <row r="63" spans="1:15" ht="13.5" thickTop="1">
      <c r="A63" s="32"/>
      <c r="B63" s="16"/>
      <c r="C63" s="16"/>
      <c r="D63" s="16"/>
      <c r="E63" s="16"/>
      <c r="F63" s="16"/>
      <c r="G63" s="16"/>
      <c r="H63" s="16"/>
      <c r="L63" s="32"/>
      <c r="M63" s="19"/>
      <c r="N63" s="19"/>
      <c r="O63" s="34"/>
    </row>
    <row r="64" spans="1:15" ht="12.75">
      <c r="A64" s="32" t="s">
        <v>22</v>
      </c>
      <c r="B64" s="16">
        <f>-848914+9000</f>
        <v>-839914</v>
      </c>
      <c r="C64" s="49">
        <v>-37145</v>
      </c>
      <c r="D64" s="50">
        <v>-1144</v>
      </c>
      <c r="E64" s="16">
        <f>SUM(B64:D64)</f>
        <v>-878203</v>
      </c>
      <c r="F64" s="16"/>
      <c r="G64" s="16"/>
      <c r="H64" s="18">
        <f>+E64-F64+G64</f>
        <v>-878203</v>
      </c>
      <c r="L64" s="32"/>
      <c r="M64" s="19"/>
      <c r="N64" s="19"/>
      <c r="O64" s="34"/>
    </row>
    <row r="65" spans="1:15" ht="12.75">
      <c r="A65" s="32"/>
      <c r="B65" s="16"/>
      <c r="C65" s="17"/>
      <c r="D65" s="16"/>
      <c r="E65" s="16"/>
      <c r="F65" s="16"/>
      <c r="G65" s="16"/>
      <c r="H65" s="16"/>
      <c r="L65" s="32"/>
      <c r="M65" s="19"/>
      <c r="N65" s="19"/>
      <c r="O65" s="34"/>
    </row>
    <row r="66" spans="1:15" ht="12.75">
      <c r="A66" s="32" t="s">
        <v>23</v>
      </c>
      <c r="B66" s="37">
        <v>0</v>
      </c>
      <c r="C66" s="51">
        <v>0</v>
      </c>
      <c r="D66" s="37">
        <v>0</v>
      </c>
      <c r="E66" s="37">
        <v>0</v>
      </c>
      <c r="F66" s="16"/>
      <c r="G66" s="16"/>
      <c r="H66" s="37">
        <v>0</v>
      </c>
      <c r="L66" s="32"/>
      <c r="M66" s="19"/>
      <c r="N66" s="19"/>
      <c r="O66" s="34"/>
    </row>
    <row r="67" spans="1:15" ht="12.75">
      <c r="A67" s="32"/>
      <c r="B67" s="19"/>
      <c r="C67" s="52"/>
      <c r="D67" s="19"/>
      <c r="E67" s="19"/>
      <c r="F67" s="16"/>
      <c r="G67" s="16"/>
      <c r="H67" s="16"/>
      <c r="L67" s="32"/>
      <c r="M67" s="19"/>
      <c r="N67" s="19"/>
      <c r="O67" s="34"/>
    </row>
    <row r="68" spans="1:15" ht="12.75">
      <c r="A68" s="32" t="s">
        <v>24</v>
      </c>
      <c r="B68" s="50">
        <f>B64-B66</f>
        <v>-839914</v>
      </c>
      <c r="C68" s="50">
        <f>C64-C66</f>
        <v>-37145</v>
      </c>
      <c r="D68" s="50">
        <f>D64-D66</f>
        <v>-1144</v>
      </c>
      <c r="E68" s="16">
        <f>SUM(B68:D68)</f>
        <v>-878203</v>
      </c>
      <c r="F68" s="16"/>
      <c r="G68" s="16"/>
      <c r="H68" s="18">
        <f>+H64-H66</f>
        <v>-878203</v>
      </c>
      <c r="L68" s="32"/>
      <c r="M68" s="19"/>
      <c r="N68" s="19"/>
      <c r="O68" s="34"/>
    </row>
    <row r="69" spans="1:15" ht="12.75">
      <c r="A69" s="32"/>
      <c r="B69" s="16"/>
      <c r="C69" s="17"/>
      <c r="D69" s="52"/>
      <c r="E69" s="16"/>
      <c r="F69" s="16"/>
      <c r="G69" s="16"/>
      <c r="H69" s="16"/>
      <c r="L69" s="32"/>
      <c r="M69" s="19"/>
      <c r="N69" s="19"/>
      <c r="O69" s="34"/>
    </row>
    <row r="70" spans="1:15" ht="12.75">
      <c r="A70" s="32" t="s">
        <v>11</v>
      </c>
      <c r="B70" s="37">
        <v>0</v>
      </c>
      <c r="C70" s="54">
        <v>0</v>
      </c>
      <c r="D70" s="51">
        <v>0</v>
      </c>
      <c r="E70" s="37">
        <v>0</v>
      </c>
      <c r="F70" s="16"/>
      <c r="G70" s="16"/>
      <c r="H70" s="55">
        <f>+E70+F70-G70</f>
        <v>0</v>
      </c>
      <c r="L70" s="32"/>
      <c r="M70" s="19"/>
      <c r="N70" s="19"/>
      <c r="O70" s="34"/>
    </row>
    <row r="71" spans="1:15" ht="12.75">
      <c r="A71" s="32"/>
      <c r="B71" s="19"/>
      <c r="C71" s="53"/>
      <c r="D71" s="52"/>
      <c r="E71" s="19"/>
      <c r="F71" s="16"/>
      <c r="G71" s="16"/>
      <c r="H71" s="19"/>
      <c r="L71" s="32"/>
      <c r="M71" s="19"/>
      <c r="N71" s="19"/>
      <c r="O71" s="34"/>
    </row>
    <row r="72" spans="1:15" ht="12.75">
      <c r="A72" s="32" t="s">
        <v>25</v>
      </c>
      <c r="B72" s="16">
        <f>B68-B70</f>
        <v>-839914</v>
      </c>
      <c r="C72" s="16">
        <f>C68-C70</f>
        <v>-37145</v>
      </c>
      <c r="D72" s="16">
        <f>D68-D70</f>
        <v>-1144</v>
      </c>
      <c r="E72" s="16">
        <f>E68-E70</f>
        <v>-878203</v>
      </c>
      <c r="F72" s="16"/>
      <c r="G72" s="16"/>
      <c r="H72" s="18">
        <f>+H68-H70</f>
        <v>-878203</v>
      </c>
      <c r="L72" s="32"/>
      <c r="M72" s="19"/>
      <c r="N72" s="19"/>
      <c r="O72" s="34"/>
    </row>
    <row r="73" spans="1:15" ht="12.75">
      <c r="A73" s="32"/>
      <c r="B73" s="16"/>
      <c r="C73" s="17"/>
      <c r="D73" s="52"/>
      <c r="E73" s="16"/>
      <c r="F73" s="16"/>
      <c r="G73" s="16"/>
      <c r="H73" s="16"/>
      <c r="L73" s="32"/>
      <c r="M73" s="19"/>
      <c r="N73" s="19"/>
      <c r="O73" s="34"/>
    </row>
    <row r="74" spans="1:15" ht="12.75">
      <c r="A74" s="32" t="s">
        <v>26</v>
      </c>
      <c r="B74" s="37">
        <v>0</v>
      </c>
      <c r="C74" s="51">
        <f>C82</f>
        <v>0</v>
      </c>
      <c r="D74" s="54">
        <v>0</v>
      </c>
      <c r="E74" s="37">
        <v>0</v>
      </c>
      <c r="F74" s="16"/>
      <c r="G74" s="18"/>
      <c r="H74" s="55">
        <f>+E74+F74-G74</f>
        <v>0</v>
      </c>
      <c r="K74" s="59"/>
      <c r="L74" s="34"/>
      <c r="M74" s="19"/>
      <c r="N74" s="19"/>
      <c r="O74" s="34"/>
    </row>
    <row r="75" spans="1:15" ht="12.75">
      <c r="A75" s="32"/>
      <c r="B75" s="19"/>
      <c r="C75" s="52"/>
      <c r="D75" s="53"/>
      <c r="E75" s="19"/>
      <c r="F75" s="16"/>
      <c r="G75" s="18"/>
      <c r="H75" s="21"/>
      <c r="L75" s="32"/>
      <c r="M75" s="19"/>
      <c r="N75" s="19"/>
      <c r="O75" s="34"/>
    </row>
    <row r="76" spans="1:15" ht="12.75">
      <c r="A76" s="32" t="s">
        <v>27</v>
      </c>
      <c r="B76" s="50">
        <f>B72-B74</f>
        <v>-839914</v>
      </c>
      <c r="C76" s="50">
        <f>C72-C74</f>
        <v>-37145</v>
      </c>
      <c r="D76" s="50">
        <f>D72-D74</f>
        <v>-1144</v>
      </c>
      <c r="E76" s="16">
        <f>SUM(B76:D76)</f>
        <v>-878203</v>
      </c>
      <c r="F76" s="16"/>
      <c r="G76" s="18"/>
      <c r="H76" s="18">
        <f>+H72-H74</f>
        <v>-878203</v>
      </c>
      <c r="L76" s="32"/>
      <c r="M76" s="19"/>
      <c r="N76" s="19"/>
      <c r="O76" s="34"/>
    </row>
    <row r="77" spans="1:15" ht="12.75">
      <c r="A77" s="32"/>
      <c r="B77" s="16"/>
      <c r="C77" s="17"/>
      <c r="D77" s="52"/>
      <c r="E77" s="16"/>
      <c r="F77" s="16"/>
      <c r="G77" s="18"/>
      <c r="H77" s="18">
        <f>+E77+F77-G77</f>
        <v>0</v>
      </c>
      <c r="L77" s="32"/>
      <c r="M77" s="19"/>
      <c r="N77" s="19"/>
      <c r="O77" s="34"/>
    </row>
    <row r="78" spans="1:15" ht="12.75">
      <c r="A78" s="32" t="s">
        <v>174</v>
      </c>
      <c r="B78" s="37">
        <v>-22853036</v>
      </c>
      <c r="C78" s="51">
        <v>505559</v>
      </c>
      <c r="D78" s="54">
        <v>-34103</v>
      </c>
      <c r="E78" s="37">
        <f>SUM(B78:D78)</f>
        <v>-22381580</v>
      </c>
      <c r="F78" s="19"/>
      <c r="G78" s="21">
        <f>+N31</f>
        <v>2000000</v>
      </c>
      <c r="H78" s="55">
        <f>+E78-F78+G78</f>
        <v>-20381580</v>
      </c>
      <c r="L78" s="32"/>
      <c r="M78" s="19"/>
      <c r="N78" s="19"/>
      <c r="O78" s="34"/>
    </row>
    <row r="79" spans="1:15" ht="12.75">
      <c r="A79" s="32"/>
      <c r="B79" s="32"/>
      <c r="C79" s="32"/>
      <c r="D79" s="52"/>
      <c r="E79" s="16"/>
      <c r="F79" s="19"/>
      <c r="G79" s="19"/>
      <c r="H79" s="16"/>
      <c r="L79" s="32"/>
      <c r="M79" s="19"/>
      <c r="N79" s="19"/>
      <c r="O79" s="34"/>
    </row>
    <row r="80" spans="1:15" ht="12.75">
      <c r="A80" s="32" t="s">
        <v>28</v>
      </c>
      <c r="B80" s="17">
        <f>+B76+B78</f>
        <v>-23692950</v>
      </c>
      <c r="C80" s="17">
        <f>+C76+C78</f>
        <v>468414</v>
      </c>
      <c r="D80" s="17">
        <f>+D76+D78</f>
        <v>-35247</v>
      </c>
      <c r="E80" s="16">
        <f>SUM(B80:D80)</f>
        <v>-23259783</v>
      </c>
      <c r="F80" s="19"/>
      <c r="G80" s="19"/>
      <c r="H80" s="18">
        <f>+H76+H78</f>
        <v>-21259783</v>
      </c>
      <c r="L80" s="32"/>
      <c r="M80" s="19"/>
      <c r="N80" s="19"/>
      <c r="O80" s="34"/>
    </row>
    <row r="81" spans="1:15" ht="12.75">
      <c r="A81" s="32"/>
      <c r="B81" s="17"/>
      <c r="C81" s="17"/>
      <c r="D81" s="52"/>
      <c r="E81" s="16"/>
      <c r="F81" s="16"/>
      <c r="G81" s="16"/>
      <c r="H81" s="18"/>
      <c r="L81" s="32"/>
      <c r="M81" s="19"/>
      <c r="N81" s="19"/>
      <c r="O81" s="34"/>
    </row>
    <row r="82" spans="1:15" ht="12.75">
      <c r="A82" s="32" t="s">
        <v>29</v>
      </c>
      <c r="B82" s="19">
        <v>0</v>
      </c>
      <c r="C82" s="56">
        <v>0</v>
      </c>
      <c r="D82" s="53">
        <v>0</v>
      </c>
      <c r="E82" s="19">
        <v>0</v>
      </c>
      <c r="F82" s="19"/>
      <c r="G82" s="19"/>
      <c r="H82" s="21">
        <f>+E82+F82-G82</f>
        <v>0</v>
      </c>
      <c r="L82" s="32"/>
      <c r="M82" s="12"/>
      <c r="N82" s="19"/>
      <c r="O82" s="34"/>
    </row>
    <row r="83" spans="1:15" ht="12.75">
      <c r="A83" s="32"/>
      <c r="B83" s="19"/>
      <c r="C83" s="56"/>
      <c r="D83" s="53"/>
      <c r="E83" s="19"/>
      <c r="F83" s="16"/>
      <c r="G83" s="16"/>
      <c r="H83" s="21"/>
      <c r="L83" s="32"/>
      <c r="M83" s="12"/>
      <c r="N83" s="19"/>
      <c r="O83" s="34"/>
    </row>
    <row r="84" spans="1:15" ht="13.5" thickBot="1">
      <c r="A84" s="32" t="s">
        <v>30</v>
      </c>
      <c r="B84" s="22">
        <f>B80+B82</f>
        <v>-23692950</v>
      </c>
      <c r="C84" s="22">
        <f>C80+C82</f>
        <v>468414</v>
      </c>
      <c r="D84" s="22">
        <f>D80+D82</f>
        <v>-35247</v>
      </c>
      <c r="E84" s="23">
        <f>SUM(B84:D84)</f>
        <v>-23259783</v>
      </c>
      <c r="F84" s="23">
        <f>SUM(F64:F83)</f>
        <v>0</v>
      </c>
      <c r="G84" s="23">
        <f>SUM(G64:G83)</f>
        <v>2000000</v>
      </c>
      <c r="H84" s="24">
        <f>+H80+H82</f>
        <v>-21259783</v>
      </c>
      <c r="M84" s="12"/>
      <c r="N84" s="12"/>
      <c r="O84" s="34"/>
    </row>
    <row r="85" spans="1:15" ht="13.5" thickTop="1">
      <c r="A85" s="32"/>
      <c r="B85" s="16"/>
      <c r="C85" s="16"/>
      <c r="D85" s="16"/>
      <c r="E85" s="16"/>
      <c r="F85" s="16"/>
      <c r="G85" s="16"/>
      <c r="H85" s="16"/>
      <c r="L85" s="32"/>
      <c r="M85" s="19"/>
      <c r="N85" s="19"/>
      <c r="O85" s="34"/>
    </row>
    <row r="86" spans="12:15" ht="12.75">
      <c r="L86" s="32"/>
      <c r="M86" s="19"/>
      <c r="N86" s="19"/>
      <c r="O86" s="34"/>
    </row>
    <row r="87" spans="12:15" ht="12.75">
      <c r="L87" s="32"/>
      <c r="M87" s="52"/>
      <c r="N87" s="19"/>
      <c r="O87" s="34"/>
    </row>
    <row r="88" spans="12:15" ht="12.75">
      <c r="L88" s="32"/>
      <c r="M88" s="19"/>
      <c r="N88" s="19"/>
      <c r="O88" s="34"/>
    </row>
    <row r="89" ht="12.75">
      <c r="O89" s="32"/>
    </row>
    <row r="90" spans="2:15" ht="12.75">
      <c r="B90" s="11"/>
      <c r="C90" s="11"/>
      <c r="G90" s="11"/>
      <c r="H90" s="11"/>
      <c r="N90" s="16"/>
      <c r="O90" s="32"/>
    </row>
    <row r="91" spans="11:15" ht="12.75">
      <c r="K91" s="30"/>
      <c r="L91" s="32"/>
      <c r="O91" s="16"/>
    </row>
  </sheetData>
  <printOptions horizontalCentered="1"/>
  <pageMargins left="0.5" right="0.5" top="0.75" bottom="0.74" header="0.5" footer="0.51"/>
  <pageSetup horizontalDpi="360" verticalDpi="360" orientation="portrait" paperSize="9" r:id="rId1"/>
  <headerFooter alignWithMargins="0">
    <oddFooter>&amp;L&amp;F&lt;&amp;D&gt;&lt;&amp;T&gt;&amp;C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1.7109375" style="0" customWidth="1"/>
    <col min="2" max="2" width="16.28125" style="0" customWidth="1"/>
    <col min="3" max="3" width="14.28125" style="0" customWidth="1"/>
    <col min="4" max="4" width="15.00390625" style="0" customWidth="1"/>
    <col min="5" max="5" width="13.140625" style="0" customWidth="1"/>
    <col min="6" max="6" width="13.140625" style="0" bestFit="1" customWidth="1"/>
    <col min="7" max="7" width="12.421875" style="0" bestFit="1" customWidth="1"/>
    <col min="8" max="8" width="13.00390625" style="0" customWidth="1"/>
    <col min="9" max="9" width="11.7109375" style="27" customWidth="1"/>
    <col min="10" max="10" width="13.00390625" style="0" customWidth="1"/>
    <col min="11" max="11" width="12.421875" style="0" customWidth="1"/>
    <col min="12" max="12" width="12.28125" style="0" customWidth="1"/>
    <col min="13" max="13" width="11.7109375" style="0" customWidth="1"/>
    <col min="14" max="14" width="15.8515625" style="0" customWidth="1"/>
    <col min="15" max="16" width="14.421875" style="0" bestFit="1" customWidth="1"/>
    <col min="17" max="17" width="15.421875" style="0" customWidth="1"/>
    <col min="20" max="20" width="11.28125" style="0" bestFit="1" customWidth="1"/>
    <col min="21" max="21" width="58.00390625" style="0" bestFit="1" customWidth="1"/>
    <col min="22" max="23" width="13.421875" style="0" customWidth="1"/>
    <col min="24" max="24" width="5.140625" style="0" bestFit="1" customWidth="1"/>
    <col min="25" max="25" width="11.140625" style="0" bestFit="1" customWidth="1"/>
    <col min="26" max="26" width="11.8515625" style="0" bestFit="1" customWidth="1"/>
    <col min="27" max="27" width="9.57421875" style="0" customWidth="1"/>
  </cols>
  <sheetData>
    <row r="1" spans="1:24" ht="14.25">
      <c r="A1" s="152" t="s">
        <v>31</v>
      </c>
      <c r="B1" s="152"/>
      <c r="C1" s="152"/>
      <c r="D1" s="152"/>
      <c r="E1" s="152"/>
      <c r="F1" s="152"/>
      <c r="G1" s="152"/>
      <c r="H1" s="152"/>
      <c r="I1" s="153"/>
      <c r="J1" s="152"/>
      <c r="K1" s="152"/>
      <c r="L1" s="152"/>
      <c r="M1" s="152"/>
      <c r="N1" s="152"/>
      <c r="O1" s="152"/>
      <c r="P1" s="152"/>
      <c r="Q1" s="152"/>
      <c r="T1" s="216" t="s">
        <v>31</v>
      </c>
      <c r="U1" s="216"/>
      <c r="V1" s="216"/>
      <c r="W1" s="216"/>
      <c r="X1" s="32">
        <v>1</v>
      </c>
    </row>
    <row r="2" spans="1:24" ht="14.25">
      <c r="A2" s="152" t="s">
        <v>32</v>
      </c>
      <c r="B2" s="152"/>
      <c r="C2" s="152"/>
      <c r="D2" s="152"/>
      <c r="E2" s="152"/>
      <c r="F2" s="152"/>
      <c r="G2" s="152"/>
      <c r="H2" s="152"/>
      <c r="I2" s="153"/>
      <c r="J2" s="152"/>
      <c r="K2" s="152"/>
      <c r="L2" s="152"/>
      <c r="M2" s="152"/>
      <c r="N2" s="152"/>
      <c r="O2" s="152"/>
      <c r="P2" s="152"/>
      <c r="Q2" s="152"/>
      <c r="T2" s="95"/>
      <c r="U2" s="150"/>
      <c r="V2" s="142"/>
      <c r="W2" s="150"/>
      <c r="X2" s="32">
        <f>X1+1</f>
        <v>2</v>
      </c>
    </row>
    <row r="3" spans="1:24" ht="14.25">
      <c r="A3" s="152" t="s">
        <v>381</v>
      </c>
      <c r="B3" s="152"/>
      <c r="C3" s="152"/>
      <c r="D3" s="152"/>
      <c r="E3" s="152"/>
      <c r="F3" s="152"/>
      <c r="G3" s="152"/>
      <c r="H3" s="152"/>
      <c r="I3" s="186" t="s">
        <v>360</v>
      </c>
      <c r="J3" s="152"/>
      <c r="K3" s="152"/>
      <c r="L3" s="152"/>
      <c r="M3" s="152"/>
      <c r="N3" s="152"/>
      <c r="O3" s="152"/>
      <c r="P3" s="152"/>
      <c r="Q3" s="152"/>
      <c r="T3" s="104" t="s">
        <v>309</v>
      </c>
      <c r="U3" s="151" t="s">
        <v>383</v>
      </c>
      <c r="V3" s="7" t="s">
        <v>7</v>
      </c>
      <c r="W3" s="149" t="s">
        <v>8</v>
      </c>
      <c r="X3" s="32">
        <f aca="true" t="shared" si="0" ref="X3:X66">X2+1</f>
        <v>3</v>
      </c>
    </row>
    <row r="4" spans="1:24" ht="14.25">
      <c r="A4" s="152"/>
      <c r="B4" s="152"/>
      <c r="C4" s="154"/>
      <c r="D4" s="154"/>
      <c r="E4" s="154"/>
      <c r="F4" s="154"/>
      <c r="G4" s="154"/>
      <c r="H4" s="154"/>
      <c r="I4" s="155">
        <v>2.05</v>
      </c>
      <c r="J4" s="154"/>
      <c r="K4" s="154"/>
      <c r="L4" s="154"/>
      <c r="M4" s="154"/>
      <c r="N4" s="152"/>
      <c r="O4" s="152"/>
      <c r="P4" s="152"/>
      <c r="Q4" s="154" t="s">
        <v>33</v>
      </c>
      <c r="T4" s="106"/>
      <c r="U4" s="34"/>
      <c r="V4" s="144" t="s">
        <v>10</v>
      </c>
      <c r="W4" s="144" t="s">
        <v>10</v>
      </c>
      <c r="X4" s="32">
        <f t="shared" si="0"/>
        <v>4</v>
      </c>
    </row>
    <row r="5" spans="1:24" ht="14.25">
      <c r="A5" s="156"/>
      <c r="B5" s="157" t="s">
        <v>34</v>
      </c>
      <c r="C5" s="157" t="s">
        <v>3</v>
      </c>
      <c r="D5" s="157" t="s">
        <v>35</v>
      </c>
      <c r="E5" s="157" t="s">
        <v>36</v>
      </c>
      <c r="F5" s="157" t="s">
        <v>176</v>
      </c>
      <c r="G5" s="157" t="s">
        <v>37</v>
      </c>
      <c r="H5" s="157" t="s">
        <v>175</v>
      </c>
      <c r="I5" s="158" t="s">
        <v>177</v>
      </c>
      <c r="J5" s="157" t="s">
        <v>178</v>
      </c>
      <c r="K5" s="157" t="s">
        <v>179</v>
      </c>
      <c r="L5" s="157" t="s">
        <v>180</v>
      </c>
      <c r="M5" s="157" t="s">
        <v>302</v>
      </c>
      <c r="N5" s="157" t="s">
        <v>181</v>
      </c>
      <c r="O5" s="157" t="s">
        <v>7</v>
      </c>
      <c r="P5" s="157" t="s">
        <v>8</v>
      </c>
      <c r="Q5" s="157" t="s">
        <v>182</v>
      </c>
      <c r="S5" s="84"/>
      <c r="T5" s="107">
        <v>1</v>
      </c>
      <c r="U5" s="34" t="s">
        <v>38</v>
      </c>
      <c r="V5" s="145">
        <v>2</v>
      </c>
      <c r="W5" s="145"/>
      <c r="X5" s="32">
        <f t="shared" si="0"/>
        <v>5</v>
      </c>
    </row>
    <row r="6" spans="1:24" ht="14.25">
      <c r="A6" s="159"/>
      <c r="B6" s="160" t="s">
        <v>10</v>
      </c>
      <c r="C6" s="160" t="s">
        <v>10</v>
      </c>
      <c r="D6" s="160" t="s">
        <v>10</v>
      </c>
      <c r="E6" s="160" t="s">
        <v>10</v>
      </c>
      <c r="F6" s="160" t="s">
        <v>10</v>
      </c>
      <c r="G6" s="160" t="s">
        <v>10</v>
      </c>
      <c r="H6" s="160" t="s">
        <v>10</v>
      </c>
      <c r="I6" s="160" t="s">
        <v>10</v>
      </c>
      <c r="J6" s="160" t="s">
        <v>10</v>
      </c>
      <c r="K6" s="160" t="s">
        <v>10</v>
      </c>
      <c r="L6" s="160" t="s">
        <v>10</v>
      </c>
      <c r="M6" s="160"/>
      <c r="N6" s="160" t="s">
        <v>10</v>
      </c>
      <c r="O6" s="160" t="s">
        <v>10</v>
      </c>
      <c r="P6" s="160" t="s">
        <v>10</v>
      </c>
      <c r="Q6" s="160" t="s">
        <v>10</v>
      </c>
      <c r="T6" s="107"/>
      <c r="U6" s="34" t="s">
        <v>39</v>
      </c>
      <c r="V6" s="145"/>
      <c r="W6" s="145">
        <v>2</v>
      </c>
      <c r="X6" s="32">
        <f t="shared" si="0"/>
        <v>6</v>
      </c>
    </row>
    <row r="7" spans="1:24" ht="14.25">
      <c r="A7" s="152" t="s">
        <v>146</v>
      </c>
      <c r="B7" s="154" t="s">
        <v>260</v>
      </c>
      <c r="C7" s="154"/>
      <c r="D7" s="154"/>
      <c r="E7" s="154"/>
      <c r="F7" s="154"/>
      <c r="G7" s="154"/>
      <c r="H7" s="154"/>
      <c r="I7" s="161"/>
      <c r="J7" s="154"/>
      <c r="K7" s="154"/>
      <c r="L7" s="154"/>
      <c r="M7" s="154"/>
      <c r="N7" s="154"/>
      <c r="O7" s="161"/>
      <c r="P7" s="154"/>
      <c r="Q7" s="154"/>
      <c r="T7" s="107"/>
      <c r="U7" s="34"/>
      <c r="V7" s="145"/>
      <c r="W7" s="145"/>
      <c r="X7" s="32">
        <f t="shared" si="0"/>
        <v>7</v>
      </c>
    </row>
    <row r="8" spans="1:24" ht="14.25">
      <c r="A8" s="152" t="s">
        <v>147</v>
      </c>
      <c r="B8" s="162">
        <f>'seal-ppty'!G8</f>
        <v>4482176</v>
      </c>
      <c r="C8" s="162">
        <f>gem!H7</f>
        <v>6276188</v>
      </c>
      <c r="D8" s="162">
        <v>95</v>
      </c>
      <c r="E8" s="162">
        <v>24</v>
      </c>
      <c r="F8" s="163">
        <v>0</v>
      </c>
      <c r="G8" s="162">
        <v>45215</v>
      </c>
      <c r="H8" s="162">
        <v>5</v>
      </c>
      <c r="I8" s="161">
        <v>0</v>
      </c>
      <c r="J8" s="163">
        <v>0</v>
      </c>
      <c r="K8" s="163">
        <v>0</v>
      </c>
      <c r="L8" s="163">
        <v>0</v>
      </c>
      <c r="M8" s="163">
        <v>0</v>
      </c>
      <c r="N8" s="161">
        <f>SUM(B8:M8)</f>
        <v>10803703</v>
      </c>
      <c r="O8" s="162"/>
      <c r="P8" s="162"/>
      <c r="Q8" s="161">
        <f>+N8+O8-P8</f>
        <v>10803703</v>
      </c>
      <c r="T8" s="107"/>
      <c r="U8" s="34" t="s">
        <v>40</v>
      </c>
      <c r="V8" s="145"/>
      <c r="W8" s="145"/>
      <c r="X8" s="32">
        <f t="shared" si="0"/>
        <v>8</v>
      </c>
    </row>
    <row r="9" spans="1:24" ht="14.25">
      <c r="A9" s="152" t="s">
        <v>148</v>
      </c>
      <c r="B9" s="164">
        <f>'seal-ppty'!G9</f>
        <v>116031663</v>
      </c>
      <c r="C9" s="164">
        <f>gem!H8</f>
        <v>0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3">
        <v>0</v>
      </c>
      <c r="M9" s="163">
        <v>0</v>
      </c>
      <c r="N9" s="161">
        <f aca="true" t="shared" si="1" ref="N9:N14">SUM(B9:M9)</f>
        <v>116031663</v>
      </c>
      <c r="O9" s="164"/>
      <c r="P9" s="164"/>
      <c r="Q9" s="161">
        <f aca="true" t="shared" si="2" ref="Q9:Q14">+N9+O9-P9</f>
        <v>116031663</v>
      </c>
      <c r="T9" s="109"/>
      <c r="U9" s="35"/>
      <c r="V9" s="146"/>
      <c r="W9" s="146"/>
      <c r="X9" s="32">
        <f t="shared" si="0"/>
        <v>9</v>
      </c>
    </row>
    <row r="10" spans="1:24" ht="14.25">
      <c r="A10" s="152" t="s">
        <v>149</v>
      </c>
      <c r="B10" s="164">
        <f>'seal-ppty'!G10</f>
        <v>14223310</v>
      </c>
      <c r="C10" s="164">
        <f>gem!H9</f>
        <v>0</v>
      </c>
      <c r="D10" s="164">
        <v>0</v>
      </c>
      <c r="E10" s="164">
        <v>0</v>
      </c>
      <c r="F10" s="164">
        <v>2</v>
      </c>
      <c r="G10" s="164">
        <v>0</v>
      </c>
      <c r="H10" s="164">
        <v>0</v>
      </c>
      <c r="I10" s="164">
        <v>0</v>
      </c>
      <c r="J10" s="164">
        <v>0</v>
      </c>
      <c r="K10" s="164">
        <v>0</v>
      </c>
      <c r="L10" s="163">
        <v>0</v>
      </c>
      <c r="M10" s="163">
        <v>0</v>
      </c>
      <c r="N10" s="161">
        <f t="shared" si="1"/>
        <v>14223312</v>
      </c>
      <c r="O10" s="164"/>
      <c r="P10" s="164">
        <f>W6+W28</f>
        <v>14223312</v>
      </c>
      <c r="Q10" s="161">
        <f t="shared" si="2"/>
        <v>0</v>
      </c>
      <c r="T10" s="107">
        <v>2</v>
      </c>
      <c r="U10" s="34" t="s">
        <v>41</v>
      </c>
      <c r="V10" s="145">
        <v>146320</v>
      </c>
      <c r="W10" s="145"/>
      <c r="X10" s="32">
        <f t="shared" si="0"/>
        <v>10</v>
      </c>
    </row>
    <row r="11" spans="1:24" ht="14.25">
      <c r="A11" s="152" t="s">
        <v>158</v>
      </c>
      <c r="B11" s="164">
        <f>'seal-ppty'!G11</f>
        <v>55127191</v>
      </c>
      <c r="C11" s="164">
        <f>gem!H10</f>
        <v>0</v>
      </c>
      <c r="D11" s="164">
        <v>0</v>
      </c>
      <c r="E11" s="164">
        <v>0</v>
      </c>
      <c r="F11" s="164">
        <v>0</v>
      </c>
      <c r="G11" s="164">
        <v>0</v>
      </c>
      <c r="H11" s="164">
        <v>0</v>
      </c>
      <c r="I11" s="164">
        <v>0</v>
      </c>
      <c r="J11" s="164">
        <v>0</v>
      </c>
      <c r="K11" s="164">
        <v>0</v>
      </c>
      <c r="L11" s="163">
        <v>0</v>
      </c>
      <c r="M11" s="163">
        <v>0</v>
      </c>
      <c r="N11" s="161">
        <f t="shared" si="1"/>
        <v>55127191</v>
      </c>
      <c r="O11" s="164"/>
      <c r="P11" s="164"/>
      <c r="Q11" s="161">
        <f t="shared" si="2"/>
        <v>55127191</v>
      </c>
      <c r="T11" s="107"/>
      <c r="U11" s="34" t="s">
        <v>42</v>
      </c>
      <c r="V11" s="145"/>
      <c r="W11" s="145">
        <v>146320</v>
      </c>
      <c r="X11" s="32">
        <f t="shared" si="0"/>
        <v>11</v>
      </c>
    </row>
    <row r="12" spans="1:24" ht="14.25">
      <c r="A12" s="152" t="s">
        <v>150</v>
      </c>
      <c r="B12" s="164">
        <f>'seal-ppty'!G12</f>
        <v>0</v>
      </c>
      <c r="C12" s="164">
        <f>gem!H11</f>
        <v>0</v>
      </c>
      <c r="D12" s="164">
        <v>0</v>
      </c>
      <c r="E12" s="164">
        <v>0</v>
      </c>
      <c r="F12" s="164">
        <v>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3">
        <v>0</v>
      </c>
      <c r="M12" s="163">
        <v>0</v>
      </c>
      <c r="N12" s="161">
        <f t="shared" si="1"/>
        <v>0</v>
      </c>
      <c r="O12" s="164"/>
      <c r="P12" s="164"/>
      <c r="Q12" s="161">
        <f t="shared" si="2"/>
        <v>0</v>
      </c>
      <c r="T12" s="107"/>
      <c r="U12" s="34"/>
      <c r="V12" s="145"/>
      <c r="W12" s="145"/>
      <c r="X12" s="32">
        <f t="shared" si="0"/>
        <v>12</v>
      </c>
    </row>
    <row r="13" spans="1:24" ht="14.25">
      <c r="A13" s="152" t="s">
        <v>151</v>
      </c>
      <c r="B13" s="165">
        <f>'seal-ppty'!G13</f>
        <v>0</v>
      </c>
      <c r="C13" s="165">
        <f>gem!H12</f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4000</v>
      </c>
      <c r="I13" s="165">
        <v>0</v>
      </c>
      <c r="J13" s="165">
        <v>0</v>
      </c>
      <c r="K13" s="165">
        <v>0</v>
      </c>
      <c r="L13" s="163">
        <v>0</v>
      </c>
      <c r="M13" s="163">
        <v>0</v>
      </c>
      <c r="N13" s="161">
        <f t="shared" si="1"/>
        <v>4000</v>
      </c>
      <c r="O13" s="164"/>
      <c r="P13" s="164"/>
      <c r="Q13" s="161">
        <f t="shared" si="2"/>
        <v>4000</v>
      </c>
      <c r="T13" s="107"/>
      <c r="U13" s="34" t="s">
        <v>43</v>
      </c>
      <c r="V13" s="145"/>
      <c r="W13" s="145"/>
      <c r="X13" s="32">
        <f t="shared" si="0"/>
        <v>13</v>
      </c>
    </row>
    <row r="14" spans="1:24" ht="14.25">
      <c r="A14" s="152" t="s">
        <v>185</v>
      </c>
      <c r="B14" s="166">
        <f>'seal-ppty'!G14</f>
        <v>0</v>
      </c>
      <c r="C14" s="166">
        <f>gem!H13</f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7">
        <v>0</v>
      </c>
      <c r="M14" s="167">
        <v>0</v>
      </c>
      <c r="N14" s="158">
        <f t="shared" si="1"/>
        <v>0</v>
      </c>
      <c r="O14" s="164">
        <f>V10+V16</f>
        <v>202320</v>
      </c>
      <c r="P14" s="164">
        <f>+W36</f>
        <v>202320</v>
      </c>
      <c r="Q14" s="158">
        <f t="shared" si="2"/>
        <v>0</v>
      </c>
      <c r="T14" s="107"/>
      <c r="U14" s="34" t="s">
        <v>44</v>
      </c>
      <c r="V14" s="145"/>
      <c r="W14" s="145"/>
      <c r="X14" s="32">
        <f t="shared" si="0"/>
        <v>14</v>
      </c>
    </row>
    <row r="15" spans="1:24" ht="14.25">
      <c r="A15" s="152"/>
      <c r="B15" s="164">
        <f>SUM(B8:B14)</f>
        <v>189864340</v>
      </c>
      <c r="C15" s="164">
        <f aca="true" t="shared" si="3" ref="C15:I15">SUM(C8:C14)</f>
        <v>6276188</v>
      </c>
      <c r="D15" s="164">
        <f t="shared" si="3"/>
        <v>95</v>
      </c>
      <c r="E15" s="164">
        <f t="shared" si="3"/>
        <v>24</v>
      </c>
      <c r="F15" s="164">
        <f t="shared" si="3"/>
        <v>2</v>
      </c>
      <c r="G15" s="164">
        <f t="shared" si="3"/>
        <v>45215</v>
      </c>
      <c r="H15" s="164">
        <f t="shared" si="3"/>
        <v>4005</v>
      </c>
      <c r="I15" s="164">
        <f t="shared" si="3"/>
        <v>0</v>
      </c>
      <c r="J15" s="164">
        <f>SUM(J8:J14)</f>
        <v>0</v>
      </c>
      <c r="K15" s="164">
        <f>SUM(K8:K14)</f>
        <v>0</v>
      </c>
      <c r="L15" s="164">
        <f>SUM(L8:L14)</f>
        <v>0</v>
      </c>
      <c r="M15" s="164">
        <f>SUM(M8:M14)</f>
        <v>0</v>
      </c>
      <c r="N15" s="164">
        <f>SUM(N8:N14)</f>
        <v>196189869</v>
      </c>
      <c r="O15" s="164"/>
      <c r="P15" s="164"/>
      <c r="Q15" s="164">
        <f>SUM(Q8:Q14)</f>
        <v>181966557</v>
      </c>
      <c r="T15" s="109"/>
      <c r="U15" s="35"/>
      <c r="V15" s="146"/>
      <c r="W15" s="146"/>
      <c r="X15" s="32">
        <f t="shared" si="0"/>
        <v>15</v>
      </c>
    </row>
    <row r="16" spans="1:24" ht="14.25">
      <c r="A16" s="152" t="s">
        <v>46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T16" s="107">
        <v>3</v>
      </c>
      <c r="U16" s="34" t="s">
        <v>45</v>
      </c>
      <c r="V16" s="145">
        <v>56000</v>
      </c>
      <c r="W16" s="145"/>
      <c r="X16" s="32">
        <f t="shared" si="0"/>
        <v>16</v>
      </c>
    </row>
    <row r="17" spans="1:24" ht="14.25">
      <c r="A17" s="168" t="s">
        <v>152</v>
      </c>
      <c r="B17" s="165">
        <f>'seal-ppty'!G17</f>
        <v>373856</v>
      </c>
      <c r="C17" s="165">
        <f>gem!H16</f>
        <v>383957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1">
        <f>SUM(B17:M17)</f>
        <v>757813</v>
      </c>
      <c r="O17" s="165"/>
      <c r="P17" s="165"/>
      <c r="Q17" s="161">
        <f aca="true" t="shared" si="4" ref="Q17:Q24">+N17+O17-P17</f>
        <v>757813</v>
      </c>
      <c r="T17" s="107"/>
      <c r="U17" s="34" t="s">
        <v>204</v>
      </c>
      <c r="V17" s="145">
        <v>24979500</v>
      </c>
      <c r="W17" s="145"/>
      <c r="X17" s="32">
        <f t="shared" si="0"/>
        <v>17</v>
      </c>
    </row>
    <row r="18" spans="1:24" ht="12.75" customHeight="1">
      <c r="A18" s="168" t="s">
        <v>12</v>
      </c>
      <c r="B18" s="165">
        <f>'seal-ppty'!G18</f>
        <v>747217</v>
      </c>
      <c r="C18" s="165">
        <f>gem!H17</f>
        <v>57852</v>
      </c>
      <c r="D18" s="165">
        <v>0</v>
      </c>
      <c r="E18" s="165">
        <v>0</v>
      </c>
      <c r="F18" s="165">
        <v>0</v>
      </c>
      <c r="G18" s="165">
        <v>0</v>
      </c>
      <c r="H18" s="165">
        <v>4335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1">
        <f aca="true" t="shared" si="5" ref="N18:N24">SUM(B18:M18)</f>
        <v>809404</v>
      </c>
      <c r="O18" s="165">
        <f>+V48</f>
        <v>0</v>
      </c>
      <c r="P18" s="165"/>
      <c r="Q18" s="161">
        <f t="shared" si="4"/>
        <v>809404</v>
      </c>
      <c r="T18" s="107"/>
      <c r="U18" s="34" t="s">
        <v>205</v>
      </c>
      <c r="V18" s="145">
        <v>700000</v>
      </c>
      <c r="W18" s="145"/>
      <c r="X18" s="32">
        <f t="shared" si="0"/>
        <v>18</v>
      </c>
    </row>
    <row r="19" spans="1:24" ht="12.75" customHeight="1">
      <c r="A19" s="152" t="s">
        <v>13</v>
      </c>
      <c r="B19" s="165">
        <f>'seal-ppty'!G19</f>
        <v>517321</v>
      </c>
      <c r="C19" s="165">
        <f>gem!H18</f>
        <v>714912</v>
      </c>
      <c r="D19" s="165">
        <v>360</v>
      </c>
      <c r="E19" s="165">
        <v>670</v>
      </c>
      <c r="F19" s="165">
        <v>0</v>
      </c>
      <c r="G19" s="165">
        <f>1690+55+16</f>
        <v>1761</v>
      </c>
      <c r="H19" s="165">
        <f>763+1446</f>
        <v>2209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1">
        <f t="shared" si="5"/>
        <v>1237233</v>
      </c>
      <c r="O19" s="165">
        <f>+V58</f>
        <v>579</v>
      </c>
      <c r="P19" s="165"/>
      <c r="Q19" s="161">
        <f t="shared" si="4"/>
        <v>1237812</v>
      </c>
      <c r="T19" s="107"/>
      <c r="U19" s="34" t="s">
        <v>206</v>
      </c>
      <c r="V19" s="145">
        <v>4500000</v>
      </c>
      <c r="W19" s="145"/>
      <c r="X19" s="32">
        <f t="shared" si="0"/>
        <v>19</v>
      </c>
    </row>
    <row r="20" spans="1:24" ht="12.75" customHeight="1">
      <c r="A20" s="152" t="s">
        <v>171</v>
      </c>
      <c r="B20" s="165">
        <f>'seal-ppty'!G20</f>
        <v>0</v>
      </c>
      <c r="C20" s="165">
        <f>gem!H19</f>
        <v>0</v>
      </c>
      <c r="D20" s="165">
        <v>0</v>
      </c>
      <c r="E20" s="165">
        <v>0</v>
      </c>
      <c r="F20" s="165">
        <v>0</v>
      </c>
      <c r="G20" s="165">
        <v>630733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1">
        <f t="shared" si="5"/>
        <v>630733</v>
      </c>
      <c r="O20" s="165"/>
      <c r="P20" s="165">
        <f>W46</f>
        <v>630733</v>
      </c>
      <c r="Q20" s="161">
        <f t="shared" si="4"/>
        <v>0</v>
      </c>
      <c r="T20" s="107"/>
      <c r="U20" s="34" t="s">
        <v>207</v>
      </c>
      <c r="V20" s="145">
        <v>1250000</v>
      </c>
      <c r="W20" s="145"/>
      <c r="X20" s="32">
        <f t="shared" si="0"/>
        <v>20</v>
      </c>
    </row>
    <row r="21" spans="1:24" ht="12.75" customHeight="1">
      <c r="A21" s="152" t="s">
        <v>165</v>
      </c>
      <c r="B21" s="165">
        <f>'seal-ppty'!G21</f>
        <v>0</v>
      </c>
      <c r="C21" s="165">
        <f>gem!H20</f>
        <v>18981621</v>
      </c>
      <c r="D21" s="165">
        <v>31811</v>
      </c>
      <c r="E21" s="165">
        <v>1745315</v>
      </c>
      <c r="F21" s="165">
        <v>4448077</v>
      </c>
      <c r="G21" s="165">
        <v>0</v>
      </c>
      <c r="H21" s="165">
        <v>1568471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1">
        <f t="shared" si="5"/>
        <v>26775295</v>
      </c>
      <c r="O21" s="165"/>
      <c r="P21" s="165">
        <f>W47</f>
        <v>26775295</v>
      </c>
      <c r="Q21" s="161">
        <f t="shared" si="4"/>
        <v>0</v>
      </c>
      <c r="T21" s="107"/>
      <c r="U21" s="34" t="s">
        <v>208</v>
      </c>
      <c r="V21" s="145">
        <v>2000000</v>
      </c>
      <c r="W21" s="145"/>
      <c r="X21" s="32">
        <f t="shared" si="0"/>
        <v>21</v>
      </c>
    </row>
    <row r="22" spans="1:24" ht="14.25">
      <c r="A22" s="152" t="s">
        <v>166</v>
      </c>
      <c r="B22" s="165">
        <f>'seal-ppty'!G22</f>
        <v>87814</v>
      </c>
      <c r="C22" s="165">
        <f>gem!H21</f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1">
        <f t="shared" si="5"/>
        <v>87814</v>
      </c>
      <c r="O22" s="165"/>
      <c r="P22" s="165">
        <f>W64</f>
        <v>87814</v>
      </c>
      <c r="Q22" s="161">
        <f t="shared" si="4"/>
        <v>0</v>
      </c>
      <c r="T22" s="107"/>
      <c r="U22" s="34" t="s">
        <v>209</v>
      </c>
      <c r="V22" s="145">
        <v>6</v>
      </c>
      <c r="W22" s="145"/>
      <c r="X22" s="32">
        <f t="shared" si="0"/>
        <v>22</v>
      </c>
    </row>
    <row r="23" spans="1:24" ht="14.25">
      <c r="A23" s="152" t="s">
        <v>167</v>
      </c>
      <c r="B23" s="165">
        <f>'seal-ppty'!G23</f>
        <v>0</v>
      </c>
      <c r="C23" s="165">
        <f>gem!H22</f>
        <v>14</v>
      </c>
      <c r="D23" s="165">
        <v>388706</v>
      </c>
      <c r="E23" s="165">
        <v>0</v>
      </c>
      <c r="F23" s="165">
        <f>14300+1790+322+580+206</f>
        <v>17198</v>
      </c>
      <c r="G23" s="165">
        <v>28239</v>
      </c>
      <c r="H23" s="165">
        <f>167735+71944+8115+8044+243234+10587</f>
        <v>509659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1">
        <f t="shared" si="5"/>
        <v>943816</v>
      </c>
      <c r="O23" s="165"/>
      <c r="P23" s="165">
        <f>W53</f>
        <v>943816</v>
      </c>
      <c r="Q23" s="161">
        <f t="shared" si="4"/>
        <v>0</v>
      </c>
      <c r="T23" s="107"/>
      <c r="U23" s="34" t="s">
        <v>210</v>
      </c>
      <c r="V23" s="145">
        <v>2</v>
      </c>
      <c r="W23" s="145"/>
      <c r="X23" s="32">
        <f t="shared" si="0"/>
        <v>23</v>
      </c>
    </row>
    <row r="24" spans="1:24" ht="14.25">
      <c r="A24" s="152" t="s">
        <v>159</v>
      </c>
      <c r="B24" s="165">
        <f>'seal-ppty'!G24</f>
        <v>149592</v>
      </c>
      <c r="C24" s="165">
        <f>gem!H23</f>
        <v>117880</v>
      </c>
      <c r="D24" s="165">
        <v>6687</v>
      </c>
      <c r="E24" s="165">
        <v>0</v>
      </c>
      <c r="F24" s="165">
        <v>437</v>
      </c>
      <c r="G24" s="165">
        <v>47</v>
      </c>
      <c r="H24" s="165">
        <f>635+15345</f>
        <v>15980</v>
      </c>
      <c r="I24" s="165">
        <f>ROUND(712*I4,0)</f>
        <v>1460</v>
      </c>
      <c r="J24" s="165">
        <v>2</v>
      </c>
      <c r="K24" s="165">
        <v>2</v>
      </c>
      <c r="L24" s="165">
        <v>2</v>
      </c>
      <c r="M24" s="165">
        <v>100</v>
      </c>
      <c r="N24" s="161">
        <f t="shared" si="5"/>
        <v>292189</v>
      </c>
      <c r="O24" s="165"/>
      <c r="P24" s="165"/>
      <c r="Q24" s="161">
        <f t="shared" si="4"/>
        <v>292189</v>
      </c>
      <c r="T24" s="107"/>
      <c r="U24" s="34" t="s">
        <v>211</v>
      </c>
      <c r="V24" s="145">
        <v>2</v>
      </c>
      <c r="W24" s="145"/>
      <c r="X24" s="32">
        <f t="shared" si="0"/>
        <v>24</v>
      </c>
    </row>
    <row r="25" spans="1:24" ht="14.25">
      <c r="A25" s="152"/>
      <c r="B25" s="169">
        <f aca="true" t="shared" si="6" ref="B25:L25">SUM(B17:B24)</f>
        <v>1875800</v>
      </c>
      <c r="C25" s="169">
        <f t="shared" si="6"/>
        <v>20256236</v>
      </c>
      <c r="D25" s="169">
        <f t="shared" si="6"/>
        <v>427564</v>
      </c>
      <c r="E25" s="169">
        <f t="shared" si="6"/>
        <v>1745985</v>
      </c>
      <c r="F25" s="169">
        <f t="shared" si="6"/>
        <v>4465712</v>
      </c>
      <c r="G25" s="169">
        <f t="shared" si="6"/>
        <v>660780</v>
      </c>
      <c r="H25" s="169">
        <f t="shared" si="6"/>
        <v>2100654</v>
      </c>
      <c r="I25" s="169">
        <f t="shared" si="6"/>
        <v>1460</v>
      </c>
      <c r="J25" s="169">
        <f t="shared" si="6"/>
        <v>2</v>
      </c>
      <c r="K25" s="169">
        <f t="shared" si="6"/>
        <v>2</v>
      </c>
      <c r="L25" s="169">
        <f t="shared" si="6"/>
        <v>2</v>
      </c>
      <c r="M25" s="169">
        <f>SUM(M17:M24)</f>
        <v>100</v>
      </c>
      <c r="N25" s="169">
        <f>SUM(N17:N24)</f>
        <v>31534297</v>
      </c>
      <c r="O25" s="165"/>
      <c r="P25" s="165"/>
      <c r="Q25" s="169">
        <f>SUM(Q17:Q24)</f>
        <v>3097218</v>
      </c>
      <c r="T25" s="107"/>
      <c r="U25" s="34" t="s">
        <v>212</v>
      </c>
      <c r="V25" s="145">
        <v>2</v>
      </c>
      <c r="W25" s="145"/>
      <c r="X25" s="32">
        <f t="shared" si="0"/>
        <v>25</v>
      </c>
    </row>
    <row r="26" spans="1:24" ht="14.25">
      <c r="A26" s="152" t="s">
        <v>14</v>
      </c>
      <c r="B26" s="165">
        <f>'seal-ppty'!G26</f>
        <v>0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T26" s="107"/>
      <c r="U26" s="34" t="s">
        <v>303</v>
      </c>
      <c r="V26" s="145">
        <v>100</v>
      </c>
      <c r="W26" s="145"/>
      <c r="X26" s="32">
        <f t="shared" si="0"/>
        <v>26</v>
      </c>
    </row>
    <row r="27" spans="1:24" ht="14.25">
      <c r="A27" s="152" t="s">
        <v>15</v>
      </c>
      <c r="B27" s="165">
        <f>'seal-ppty'!G27</f>
        <v>938182</v>
      </c>
      <c r="C27" s="165">
        <f>gem!H26</f>
        <v>1768502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1">
        <f>SUM(B27:M27)</f>
        <v>2706684</v>
      </c>
      <c r="O27" s="165"/>
      <c r="P27" s="165"/>
      <c r="Q27" s="165">
        <f>+N27-O27+P27</f>
        <v>2706684</v>
      </c>
      <c r="T27" s="107"/>
      <c r="U27" s="34" t="s">
        <v>213</v>
      </c>
      <c r="V27" s="145"/>
      <c r="W27" s="145">
        <v>3</v>
      </c>
      <c r="X27" s="32">
        <f t="shared" si="0"/>
        <v>27</v>
      </c>
    </row>
    <row r="28" spans="1:24" ht="14.25">
      <c r="A28" s="152" t="s">
        <v>49</v>
      </c>
      <c r="B28" s="165">
        <f>'seal-ppty'!G28</f>
        <v>24352603</v>
      </c>
      <c r="C28" s="165">
        <f>gem!H27</f>
        <v>10616918</v>
      </c>
      <c r="D28" s="165">
        <v>15402</v>
      </c>
      <c r="E28" s="165">
        <v>15995</v>
      </c>
      <c r="F28" s="165">
        <f>30687+143725+8750+3050</f>
        <v>186212</v>
      </c>
      <c r="G28" s="165">
        <f>2357+1075+2937</f>
        <v>6369</v>
      </c>
      <c r="H28" s="165">
        <f>-1261+4335+1446+5898-388</f>
        <v>10030</v>
      </c>
      <c r="I28" s="165">
        <f>ROUND(184492*I4,0)</f>
        <v>378209</v>
      </c>
      <c r="J28" s="165">
        <v>3298</v>
      </c>
      <c r="K28" s="165">
        <v>2656</v>
      </c>
      <c r="L28" s="165">
        <v>1986</v>
      </c>
      <c r="M28" s="165">
        <f>4633-150</f>
        <v>4483</v>
      </c>
      <c r="N28" s="161">
        <f aca="true" t="shared" si="7" ref="N28:N37">SUM(B28:M28)</f>
        <v>35594161</v>
      </c>
      <c r="O28" s="165"/>
      <c r="P28" s="165">
        <f>W90</f>
        <v>24148</v>
      </c>
      <c r="Q28" s="165">
        <f aca="true" t="shared" si="8" ref="Q28:Q38">+N28-O28+P28</f>
        <v>35618309</v>
      </c>
      <c r="T28" s="107"/>
      <c r="U28" s="34" t="s">
        <v>47</v>
      </c>
      <c r="V28" s="145"/>
      <c r="W28" s="145">
        <f>14223259+51</f>
        <v>14223310</v>
      </c>
      <c r="X28" s="32">
        <f t="shared" si="0"/>
        <v>28</v>
      </c>
    </row>
    <row r="29" spans="1:24" ht="14.25">
      <c r="A29" s="152" t="s">
        <v>160</v>
      </c>
      <c r="B29" s="165">
        <f>'seal-ppty'!G29</f>
        <v>0</v>
      </c>
      <c r="C29" s="165">
        <f>gem!H28</f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1">
        <f t="shared" si="7"/>
        <v>0</v>
      </c>
      <c r="O29" s="165"/>
      <c r="P29" s="165"/>
      <c r="Q29" s="165">
        <f t="shared" si="8"/>
        <v>0</v>
      </c>
      <c r="T29" s="107"/>
      <c r="U29" s="34" t="s">
        <v>361</v>
      </c>
      <c r="V29" s="145"/>
      <c r="W29" s="145">
        <f>10001250+49</f>
        <v>10001299</v>
      </c>
      <c r="X29" s="32">
        <f t="shared" si="0"/>
        <v>29</v>
      </c>
    </row>
    <row r="30" spans="1:24" ht="14.25">
      <c r="A30" s="152" t="s">
        <v>172</v>
      </c>
      <c r="B30" s="165">
        <f>'seal-ppty'!G30</f>
        <v>0</v>
      </c>
      <c r="C30" s="165">
        <f>gem!H29</f>
        <v>4190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1">
        <f t="shared" si="7"/>
        <v>4190</v>
      </c>
      <c r="O30" s="165">
        <f>V63</f>
        <v>4190</v>
      </c>
      <c r="P30" s="165"/>
      <c r="Q30" s="165">
        <f t="shared" si="8"/>
        <v>0</v>
      </c>
      <c r="T30" s="107"/>
      <c r="U30" s="34" t="s">
        <v>48</v>
      </c>
      <c r="V30" s="145"/>
      <c r="W30" s="145"/>
      <c r="X30" s="32">
        <f t="shared" si="0"/>
        <v>30</v>
      </c>
    </row>
    <row r="31" spans="1:24" ht="14.25">
      <c r="A31" s="152" t="s">
        <v>173</v>
      </c>
      <c r="B31" s="165">
        <f>'seal-ppty'!G31</f>
        <v>0</v>
      </c>
      <c r="C31" s="165">
        <f>gem!H30</f>
        <v>0</v>
      </c>
      <c r="D31" s="165">
        <v>0</v>
      </c>
      <c r="E31" s="165">
        <v>0</v>
      </c>
      <c r="F31" s="165">
        <v>0</v>
      </c>
      <c r="G31" s="165">
        <v>972519</v>
      </c>
      <c r="H31" s="165">
        <v>0</v>
      </c>
      <c r="I31" s="165">
        <f>ROUND(130140*I4,0)</f>
        <v>266787</v>
      </c>
      <c r="J31" s="165">
        <v>25319</v>
      </c>
      <c r="K31" s="165">
        <v>23849</v>
      </c>
      <c r="L31" s="165">
        <v>33184</v>
      </c>
      <c r="M31" s="165">
        <v>150</v>
      </c>
      <c r="N31" s="161">
        <f t="shared" si="7"/>
        <v>1321808</v>
      </c>
      <c r="O31" s="165">
        <f>V62</f>
        <v>1321808</v>
      </c>
      <c r="P31" s="165"/>
      <c r="Q31" s="165">
        <f t="shared" si="8"/>
        <v>0</v>
      </c>
      <c r="T31" s="107"/>
      <c r="U31" s="34" t="s">
        <v>203</v>
      </c>
      <c r="V31" s="145"/>
      <c r="W31" s="145">
        <v>9261000</v>
      </c>
      <c r="X31" s="32">
        <f t="shared" si="0"/>
        <v>31</v>
      </c>
    </row>
    <row r="32" spans="1:24" ht="14.25">
      <c r="A32" s="152" t="s">
        <v>161</v>
      </c>
      <c r="B32" s="165">
        <f>'seal-ppty'!G32</f>
        <v>27406028</v>
      </c>
      <c r="C32" s="165">
        <f>gem!H31</f>
        <v>0</v>
      </c>
      <c r="D32" s="165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1">
        <f t="shared" si="7"/>
        <v>27406028</v>
      </c>
      <c r="O32" s="165">
        <f>V45</f>
        <v>27406028</v>
      </c>
      <c r="P32" s="165"/>
      <c r="Q32" s="165">
        <f t="shared" si="8"/>
        <v>0</v>
      </c>
      <c r="T32" s="107"/>
      <c r="U32" s="34"/>
      <c r="V32" s="145"/>
      <c r="W32" s="145"/>
      <c r="X32" s="32">
        <f t="shared" si="0"/>
        <v>32</v>
      </c>
    </row>
    <row r="33" spans="1:24" ht="14.25">
      <c r="A33" s="152" t="s">
        <v>168</v>
      </c>
      <c r="B33" s="165">
        <f>'seal-ppty'!G33</f>
        <v>0</v>
      </c>
      <c r="C33" s="165">
        <f>gem!H32</f>
        <v>656945</v>
      </c>
      <c r="D33" s="165">
        <f>14300+243235</f>
        <v>257535</v>
      </c>
      <c r="E33" s="165">
        <f>1790+8045</f>
        <v>9835</v>
      </c>
      <c r="F33" s="165">
        <f>3630325+10587</f>
        <v>3640912</v>
      </c>
      <c r="G33" s="165">
        <v>8115</v>
      </c>
      <c r="H33" s="165">
        <v>0</v>
      </c>
      <c r="I33" s="165">
        <f>ROUND(141*I4,0)</f>
        <v>289</v>
      </c>
      <c r="J33" s="165">
        <v>0</v>
      </c>
      <c r="K33" s="165">
        <v>0</v>
      </c>
      <c r="L33" s="165">
        <v>0</v>
      </c>
      <c r="M33" s="165">
        <v>0</v>
      </c>
      <c r="N33" s="161">
        <f t="shared" si="7"/>
        <v>4573631</v>
      </c>
      <c r="O33" s="165">
        <f>V52</f>
        <v>4573631</v>
      </c>
      <c r="P33" s="165"/>
      <c r="Q33" s="165">
        <f t="shared" si="8"/>
        <v>0</v>
      </c>
      <c r="T33" s="107"/>
      <c r="U33" s="34" t="s">
        <v>214</v>
      </c>
      <c r="V33" s="145"/>
      <c r="W33" s="145"/>
      <c r="X33" s="32">
        <f t="shared" si="0"/>
        <v>33</v>
      </c>
    </row>
    <row r="34" spans="1:24" ht="14.25">
      <c r="A34" s="152" t="s">
        <v>169</v>
      </c>
      <c r="B34" s="165">
        <f>'seal-ppty'!G34</f>
        <v>0</v>
      </c>
      <c r="C34" s="165">
        <f>gem!H33</f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>
        <v>0</v>
      </c>
      <c r="M34" s="165">
        <v>0</v>
      </c>
      <c r="N34" s="161">
        <f t="shared" si="7"/>
        <v>0</v>
      </c>
      <c r="O34" s="165"/>
      <c r="P34" s="165"/>
      <c r="Q34" s="165">
        <f t="shared" si="8"/>
        <v>0</v>
      </c>
      <c r="T34" s="109"/>
      <c r="U34" s="35"/>
      <c r="V34" s="146"/>
      <c r="W34" s="146"/>
      <c r="X34" s="32">
        <f t="shared" si="0"/>
        <v>34</v>
      </c>
    </row>
    <row r="35" spans="1:24" ht="14.25">
      <c r="A35" s="170" t="s">
        <v>16</v>
      </c>
      <c r="B35" s="165">
        <f>'seal-ppty'!G35</f>
        <v>0</v>
      </c>
      <c r="C35" s="165">
        <f>gem!H34</f>
        <v>1337228</v>
      </c>
      <c r="D35" s="165">
        <v>0</v>
      </c>
      <c r="E35" s="165">
        <v>0</v>
      </c>
      <c r="F35" s="165">
        <v>0</v>
      </c>
      <c r="G35" s="165">
        <f>600</f>
        <v>600</v>
      </c>
      <c r="H35" s="165">
        <v>388</v>
      </c>
      <c r="I35" s="165">
        <v>0</v>
      </c>
      <c r="J35" s="165">
        <v>0</v>
      </c>
      <c r="K35" s="165">
        <v>0</v>
      </c>
      <c r="L35" s="165">
        <v>0</v>
      </c>
      <c r="M35" s="165">
        <v>0</v>
      </c>
      <c r="N35" s="161">
        <f t="shared" si="7"/>
        <v>1338216</v>
      </c>
      <c r="O35" s="165"/>
      <c r="P35" s="165"/>
      <c r="Q35" s="165">
        <f t="shared" si="8"/>
        <v>1338216</v>
      </c>
      <c r="T35" s="107">
        <v>4</v>
      </c>
      <c r="U35" s="34" t="s">
        <v>50</v>
      </c>
      <c r="V35" s="145">
        <v>202320</v>
      </c>
      <c r="W35" s="145"/>
      <c r="X35" s="32">
        <f t="shared" si="0"/>
        <v>35</v>
      </c>
    </row>
    <row r="36" spans="1:24" ht="14.25">
      <c r="A36" s="170" t="s">
        <v>153</v>
      </c>
      <c r="B36" s="165">
        <f>'seal-ppty'!G36</f>
        <v>91978197</v>
      </c>
      <c r="C36" s="165">
        <f>gem!H35</f>
        <v>119193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>
        <v>0</v>
      </c>
      <c r="M36" s="165">
        <v>0</v>
      </c>
      <c r="N36" s="161">
        <f t="shared" si="7"/>
        <v>92097390</v>
      </c>
      <c r="O36" s="165"/>
      <c r="P36" s="165"/>
      <c r="Q36" s="165">
        <f t="shared" si="8"/>
        <v>92097390</v>
      </c>
      <c r="T36" s="107"/>
      <c r="U36" s="34" t="s">
        <v>185</v>
      </c>
      <c r="V36" s="145"/>
      <c r="W36" s="145">
        <v>202320</v>
      </c>
      <c r="X36" s="32">
        <f t="shared" si="0"/>
        <v>36</v>
      </c>
    </row>
    <row r="37" spans="1:24" ht="14.25">
      <c r="A37" s="170" t="s">
        <v>51</v>
      </c>
      <c r="B37" s="165">
        <f>'seal-ppty'!G37</f>
        <v>3020807</v>
      </c>
      <c r="C37" s="165">
        <f>gem!H36</f>
        <v>7310551</v>
      </c>
      <c r="D37" s="165">
        <v>0</v>
      </c>
      <c r="E37" s="165">
        <v>58574</v>
      </c>
      <c r="F37" s="165">
        <v>0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1">
        <f t="shared" si="7"/>
        <v>10389932</v>
      </c>
      <c r="O37" s="165"/>
      <c r="P37" s="165"/>
      <c r="Q37" s="165">
        <f t="shared" si="8"/>
        <v>10389932</v>
      </c>
      <c r="T37" s="107"/>
      <c r="U37" s="34"/>
      <c r="V37" s="145"/>
      <c r="W37" s="145"/>
      <c r="X37" s="32">
        <f t="shared" si="0"/>
        <v>37</v>
      </c>
    </row>
    <row r="38" spans="1:24" ht="14.25">
      <c r="A38" s="170" t="s">
        <v>17</v>
      </c>
      <c r="B38" s="165">
        <f>'seal-ppty'!G38</f>
        <v>0</v>
      </c>
      <c r="C38" s="165">
        <f>gem!H37</f>
        <v>999180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1">
        <f>SUM(B38:L38)</f>
        <v>999180</v>
      </c>
      <c r="O38" s="165">
        <f>V40</f>
        <v>999180</v>
      </c>
      <c r="P38" s="165"/>
      <c r="Q38" s="165">
        <f t="shared" si="8"/>
        <v>0</v>
      </c>
      <c r="T38" s="107"/>
      <c r="U38" s="34" t="s">
        <v>215</v>
      </c>
      <c r="V38" s="145"/>
      <c r="W38" s="145"/>
      <c r="X38" s="32">
        <f t="shared" si="0"/>
        <v>38</v>
      </c>
    </row>
    <row r="39" spans="1:24" ht="14.25">
      <c r="A39" s="152"/>
      <c r="B39" s="169">
        <f aca="true" t="shared" si="9" ref="B39:N39">SUM(B27:B38)</f>
        <v>147695817</v>
      </c>
      <c r="C39" s="169">
        <f t="shared" si="9"/>
        <v>22812707</v>
      </c>
      <c r="D39" s="169">
        <f t="shared" si="9"/>
        <v>272937</v>
      </c>
      <c r="E39" s="169">
        <f t="shared" si="9"/>
        <v>84404</v>
      </c>
      <c r="F39" s="169">
        <f t="shared" si="9"/>
        <v>3827124</v>
      </c>
      <c r="G39" s="169">
        <f t="shared" si="9"/>
        <v>987603</v>
      </c>
      <c r="H39" s="169">
        <f t="shared" si="9"/>
        <v>10418</v>
      </c>
      <c r="I39" s="169">
        <f t="shared" si="9"/>
        <v>645285</v>
      </c>
      <c r="J39" s="169">
        <f t="shared" si="9"/>
        <v>28617</v>
      </c>
      <c r="K39" s="169">
        <f t="shared" si="9"/>
        <v>26505</v>
      </c>
      <c r="L39" s="169">
        <f t="shared" si="9"/>
        <v>35170</v>
      </c>
      <c r="M39" s="169">
        <f t="shared" si="9"/>
        <v>4633</v>
      </c>
      <c r="N39" s="169">
        <f t="shared" si="9"/>
        <v>176431220</v>
      </c>
      <c r="O39" s="165"/>
      <c r="P39" s="165"/>
      <c r="Q39" s="169">
        <f>SUM(Q27:Q38)</f>
        <v>142150531</v>
      </c>
      <c r="T39" s="109"/>
      <c r="U39" s="35"/>
      <c r="V39" s="146"/>
      <c r="W39" s="146"/>
      <c r="X39" s="32">
        <f t="shared" si="0"/>
        <v>39</v>
      </c>
    </row>
    <row r="40" spans="1:25" ht="14.25">
      <c r="A40" s="152" t="s">
        <v>170</v>
      </c>
      <c r="B40" s="165">
        <f aca="true" t="shared" si="10" ref="B40:N40">+B25-B39</f>
        <v>-145820017</v>
      </c>
      <c r="C40" s="165">
        <f t="shared" si="10"/>
        <v>-2556471</v>
      </c>
      <c r="D40" s="165">
        <f t="shared" si="10"/>
        <v>154627</v>
      </c>
      <c r="E40" s="165">
        <f t="shared" si="10"/>
        <v>1661581</v>
      </c>
      <c r="F40" s="165">
        <f t="shared" si="10"/>
        <v>638588</v>
      </c>
      <c r="G40" s="165">
        <f t="shared" si="10"/>
        <v>-326823</v>
      </c>
      <c r="H40" s="165">
        <f t="shared" si="10"/>
        <v>2090236</v>
      </c>
      <c r="I40" s="165">
        <f>+I25-I39</f>
        <v>-643825</v>
      </c>
      <c r="J40" s="165">
        <f>+J25-J39</f>
        <v>-28615</v>
      </c>
      <c r="K40" s="165">
        <f>+K25-K39</f>
        <v>-26503</v>
      </c>
      <c r="L40" s="165">
        <f t="shared" si="10"/>
        <v>-35168</v>
      </c>
      <c r="M40" s="165">
        <f t="shared" si="10"/>
        <v>-4533</v>
      </c>
      <c r="N40" s="165">
        <f t="shared" si="10"/>
        <v>-144896923</v>
      </c>
      <c r="O40" s="165"/>
      <c r="P40" s="165"/>
      <c r="Q40" s="165">
        <f>+Q25-Q39</f>
        <v>-139053313</v>
      </c>
      <c r="T40" s="107">
        <v>5</v>
      </c>
      <c r="U40" s="34" t="s">
        <v>216</v>
      </c>
      <c r="V40" s="145">
        <v>999180</v>
      </c>
      <c r="W40" s="145"/>
      <c r="X40" s="32">
        <f t="shared" si="0"/>
        <v>40</v>
      </c>
      <c r="Y40" s="12"/>
    </row>
    <row r="41" spans="1:24" ht="14.25">
      <c r="A41" s="152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T41" s="107"/>
      <c r="U41" s="34" t="s">
        <v>217</v>
      </c>
      <c r="V41" s="145"/>
      <c r="W41" s="145">
        <v>999180</v>
      </c>
      <c r="X41" s="32">
        <f t="shared" si="0"/>
        <v>41</v>
      </c>
    </row>
    <row r="42" spans="1:24" ht="14.25">
      <c r="A42" s="152" t="s">
        <v>154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1"/>
      <c r="O42" s="165"/>
      <c r="P42" s="165"/>
      <c r="Q42" s="165"/>
      <c r="S42" s="12"/>
      <c r="T42" s="107"/>
      <c r="U42" s="34"/>
      <c r="V42" s="145"/>
      <c r="W42" s="145"/>
      <c r="X42" s="32">
        <f t="shared" si="0"/>
        <v>42</v>
      </c>
    </row>
    <row r="43" spans="1:24" ht="14.25">
      <c r="A43" s="152" t="s">
        <v>153</v>
      </c>
      <c r="B43" s="165">
        <f>'seal-ppty'!G43</f>
        <v>0</v>
      </c>
      <c r="C43" s="165">
        <f>gem!H42</f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>
        <v>0</v>
      </c>
      <c r="M43" s="165">
        <v>0</v>
      </c>
      <c r="N43" s="161">
        <f>SUM(B43:L43)</f>
        <v>0</v>
      </c>
      <c r="O43" s="165"/>
      <c r="P43" s="165"/>
      <c r="Q43" s="165">
        <f>+N43-O43+P43</f>
        <v>0</v>
      </c>
      <c r="T43" s="107"/>
      <c r="U43" s="34" t="s">
        <v>218</v>
      </c>
      <c r="V43" s="145"/>
      <c r="W43" s="145"/>
      <c r="X43" s="32">
        <f t="shared" si="0"/>
        <v>43</v>
      </c>
    </row>
    <row r="44" spans="1:24" ht="15" thickBot="1">
      <c r="A44" s="152"/>
      <c r="B44" s="171">
        <f>B15+B40+B43</f>
        <v>44044323</v>
      </c>
      <c r="C44" s="171">
        <f aca="true" t="shared" si="11" ref="C44:N44">C15+C40+C43</f>
        <v>3719717</v>
      </c>
      <c r="D44" s="171">
        <f t="shared" si="11"/>
        <v>154722</v>
      </c>
      <c r="E44" s="171">
        <f t="shared" si="11"/>
        <v>1661605</v>
      </c>
      <c r="F44" s="171">
        <f t="shared" si="11"/>
        <v>638590</v>
      </c>
      <c r="G44" s="171">
        <f t="shared" si="11"/>
        <v>-281608</v>
      </c>
      <c r="H44" s="171">
        <f t="shared" si="11"/>
        <v>2094241</v>
      </c>
      <c r="I44" s="171">
        <f t="shared" si="11"/>
        <v>-643825</v>
      </c>
      <c r="J44" s="171">
        <f t="shared" si="11"/>
        <v>-28615</v>
      </c>
      <c r="K44" s="171">
        <f t="shared" si="11"/>
        <v>-26503</v>
      </c>
      <c r="L44" s="171">
        <f t="shared" si="11"/>
        <v>-35168</v>
      </c>
      <c r="M44" s="171">
        <f t="shared" si="11"/>
        <v>-4533</v>
      </c>
      <c r="N44" s="171">
        <f t="shared" si="11"/>
        <v>51292946</v>
      </c>
      <c r="O44" s="165"/>
      <c r="P44" s="165"/>
      <c r="Q44" s="171">
        <f>+Q15+Q40+Q43</f>
        <v>42913244</v>
      </c>
      <c r="T44" s="109"/>
      <c r="U44" s="35"/>
      <c r="V44" s="146"/>
      <c r="W44" s="146"/>
      <c r="X44" s="32">
        <f t="shared" si="0"/>
        <v>44</v>
      </c>
    </row>
    <row r="45" spans="1:24" ht="15" thickTop="1">
      <c r="A45" s="152" t="s">
        <v>155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T45" s="107">
        <v>6</v>
      </c>
      <c r="U45" s="34" t="s">
        <v>219</v>
      </c>
      <c r="V45" s="145">
        <v>27406028</v>
      </c>
      <c r="W45" s="145"/>
      <c r="X45" s="32">
        <f t="shared" si="0"/>
        <v>45</v>
      </c>
    </row>
    <row r="46" spans="1:24" ht="14.25">
      <c r="A46" s="152" t="s">
        <v>162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T46" s="107"/>
      <c r="U46" s="34" t="s">
        <v>220</v>
      </c>
      <c r="V46" s="145"/>
      <c r="W46" s="145">
        <v>630733</v>
      </c>
      <c r="X46" s="32">
        <f t="shared" si="0"/>
        <v>46</v>
      </c>
    </row>
    <row r="47" spans="1:24" ht="14.25">
      <c r="A47" s="152" t="s">
        <v>163</v>
      </c>
      <c r="B47" s="165">
        <f>'seal-ppty'!G48</f>
        <v>112145732</v>
      </c>
      <c r="C47" s="165">
        <f>gem!H47</f>
        <v>24979500</v>
      </c>
      <c r="D47" s="165">
        <v>700000</v>
      </c>
      <c r="E47" s="165">
        <v>4500000</v>
      </c>
      <c r="F47" s="165">
        <v>1250000</v>
      </c>
      <c r="G47" s="165">
        <v>2</v>
      </c>
      <c r="H47" s="165">
        <v>2000000</v>
      </c>
      <c r="I47" s="165">
        <f>ROUND(3*I4,0)</f>
        <v>6</v>
      </c>
      <c r="J47" s="165">
        <v>2</v>
      </c>
      <c r="K47" s="165">
        <v>2</v>
      </c>
      <c r="L47" s="165">
        <v>2</v>
      </c>
      <c r="M47" s="165">
        <v>100</v>
      </c>
      <c r="N47" s="161">
        <f aca="true" t="shared" si="12" ref="N47:N52">SUM(B47:M47)</f>
        <v>145575346</v>
      </c>
      <c r="O47" s="165">
        <f>V5+SUM(V17:V26)</f>
        <v>33429614</v>
      </c>
      <c r="P47" s="165"/>
      <c r="Q47" s="165">
        <f aca="true" t="shared" si="13" ref="Q47:Q52">+N47-O47+P47</f>
        <v>112145732</v>
      </c>
      <c r="T47" s="107"/>
      <c r="U47" s="34" t="s">
        <v>222</v>
      </c>
      <c r="V47" s="145"/>
      <c r="W47" s="145">
        <v>26775295</v>
      </c>
      <c r="X47" s="32">
        <f t="shared" si="0"/>
        <v>47</v>
      </c>
    </row>
    <row r="48" spans="1:25" ht="14.25">
      <c r="A48" s="152" t="s">
        <v>164</v>
      </c>
      <c r="B48" s="165">
        <f>'seal-ppty'!G49</f>
        <v>249797108</v>
      </c>
      <c r="C48" s="165">
        <f>gem!H48</f>
        <v>0</v>
      </c>
      <c r="D48" s="165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1">
        <f t="shared" si="12"/>
        <v>249797108</v>
      </c>
      <c r="O48" s="165"/>
      <c r="P48" s="165"/>
      <c r="Q48" s="165">
        <f t="shared" si="13"/>
        <v>249797108</v>
      </c>
      <c r="T48" s="107"/>
      <c r="U48" s="34" t="s">
        <v>254</v>
      </c>
      <c r="V48" s="145">
        <f>V45-W46-W47</f>
        <v>0</v>
      </c>
      <c r="W48" s="145"/>
      <c r="X48" s="32">
        <f t="shared" si="0"/>
        <v>48</v>
      </c>
      <c r="Y48" s="12"/>
    </row>
    <row r="49" spans="1:24" ht="14.25">
      <c r="A49" s="152" t="s">
        <v>156</v>
      </c>
      <c r="B49" s="165">
        <f>'seal-ppty'!G50</f>
        <v>352940</v>
      </c>
      <c r="C49" s="165">
        <f>gem!H49</f>
        <v>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65">
        <v>0</v>
      </c>
      <c r="N49" s="161">
        <f t="shared" si="12"/>
        <v>352940</v>
      </c>
      <c r="O49" s="165">
        <f>V78</f>
        <v>139914</v>
      </c>
      <c r="P49" s="165">
        <f>W27+W57+W68</f>
        <v>94132</v>
      </c>
      <c r="Q49" s="165">
        <f t="shared" si="13"/>
        <v>307158</v>
      </c>
      <c r="T49" s="107"/>
      <c r="U49" s="12"/>
      <c r="V49" s="110"/>
      <c r="W49" s="110"/>
      <c r="X49" s="32">
        <f t="shared" si="0"/>
        <v>49</v>
      </c>
    </row>
    <row r="50" spans="1:24" ht="14.25">
      <c r="A50" s="152" t="s">
        <v>157</v>
      </c>
      <c r="B50" s="165">
        <f>'seal-ppty'!G51</f>
        <v>-318251457</v>
      </c>
      <c r="C50" s="165">
        <f>gem!H50</f>
        <v>-21259783</v>
      </c>
      <c r="D50" s="165">
        <f aca="true" t="shared" si="14" ref="D50:M50">+D89</f>
        <v>-545278</v>
      </c>
      <c r="E50" s="165">
        <f t="shared" si="14"/>
        <v>-2838395</v>
      </c>
      <c r="F50" s="165">
        <f t="shared" si="14"/>
        <v>-611410</v>
      </c>
      <c r="G50" s="165">
        <f t="shared" si="14"/>
        <v>-281610</v>
      </c>
      <c r="H50" s="165">
        <f t="shared" si="14"/>
        <v>94241</v>
      </c>
      <c r="I50" s="165">
        <f t="shared" si="14"/>
        <v>-503917</v>
      </c>
      <c r="J50" s="165">
        <f t="shared" si="14"/>
        <v>-28617</v>
      </c>
      <c r="K50" s="165">
        <f t="shared" si="14"/>
        <v>-26505</v>
      </c>
      <c r="L50" s="165">
        <f t="shared" si="14"/>
        <v>-35170</v>
      </c>
      <c r="M50" s="165">
        <f t="shared" si="14"/>
        <v>-4633</v>
      </c>
      <c r="N50" s="161">
        <f t="shared" si="12"/>
        <v>-344292534</v>
      </c>
      <c r="O50" s="165">
        <f>+O89</f>
        <v>2090312</v>
      </c>
      <c r="P50" s="165">
        <f>+P89</f>
        <v>23692905</v>
      </c>
      <c r="Q50" s="165">
        <f t="shared" si="13"/>
        <v>-322689941</v>
      </c>
      <c r="T50" s="107"/>
      <c r="U50" s="34" t="s">
        <v>221</v>
      </c>
      <c r="V50" s="145"/>
      <c r="W50" s="145"/>
      <c r="X50" s="32">
        <f t="shared" si="0"/>
        <v>50</v>
      </c>
    </row>
    <row r="51" spans="1:24" ht="14.25">
      <c r="A51" s="152" t="s">
        <v>184</v>
      </c>
      <c r="B51" s="165">
        <f>'seal-ppty'!G52</f>
        <v>0</v>
      </c>
      <c r="C51" s="165">
        <f>gem!H51</f>
        <v>0</v>
      </c>
      <c r="D51" s="165">
        <v>0</v>
      </c>
      <c r="E51" s="165">
        <v>0</v>
      </c>
      <c r="F51" s="165">
        <v>0</v>
      </c>
      <c r="G51" s="165">
        <v>0</v>
      </c>
      <c r="H51" s="165">
        <v>0</v>
      </c>
      <c r="I51" s="165">
        <v>-139914</v>
      </c>
      <c r="J51" s="165">
        <v>0</v>
      </c>
      <c r="K51" s="165">
        <v>0</v>
      </c>
      <c r="L51" s="165">
        <v>0</v>
      </c>
      <c r="M51" s="165">
        <v>0</v>
      </c>
      <c r="N51" s="161">
        <f t="shared" si="12"/>
        <v>-139914</v>
      </c>
      <c r="O51" s="165"/>
      <c r="P51" s="165">
        <f>W79</f>
        <v>139914</v>
      </c>
      <c r="Q51" s="165">
        <f t="shared" si="13"/>
        <v>0</v>
      </c>
      <c r="T51" s="109"/>
      <c r="U51" s="35"/>
      <c r="V51" s="146"/>
      <c r="W51" s="146"/>
      <c r="X51" s="32">
        <f t="shared" si="0"/>
        <v>51</v>
      </c>
    </row>
    <row r="52" spans="1:24" ht="14.25">
      <c r="A52" s="152" t="s">
        <v>202</v>
      </c>
      <c r="B52" s="165">
        <f>'seal-ppty'!G53</f>
        <v>0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5">
        <v>0</v>
      </c>
      <c r="M52" s="165">
        <v>0</v>
      </c>
      <c r="N52" s="161">
        <f t="shared" si="12"/>
        <v>0</v>
      </c>
      <c r="O52" s="165"/>
      <c r="P52" s="165"/>
      <c r="Q52" s="165">
        <f t="shared" si="13"/>
        <v>0</v>
      </c>
      <c r="T52" s="107">
        <v>7</v>
      </c>
      <c r="U52" s="34" t="s">
        <v>223</v>
      </c>
      <c r="V52" s="145">
        <v>4573631</v>
      </c>
      <c r="W52" s="145"/>
      <c r="X52" s="32">
        <f t="shared" si="0"/>
        <v>52</v>
      </c>
    </row>
    <row r="53" spans="1:24" ht="14.25">
      <c r="A53" s="152"/>
      <c r="B53" s="172">
        <f aca="true" t="shared" si="15" ref="B53:M53">SUM(B47:B50)</f>
        <v>44044323</v>
      </c>
      <c r="C53" s="172">
        <f t="shared" si="15"/>
        <v>3719717</v>
      </c>
      <c r="D53" s="172">
        <f>SUM(D47:D51)</f>
        <v>154722</v>
      </c>
      <c r="E53" s="172">
        <f t="shared" si="15"/>
        <v>1661605</v>
      </c>
      <c r="F53" s="172">
        <f t="shared" si="15"/>
        <v>638590</v>
      </c>
      <c r="G53" s="172">
        <f t="shared" si="15"/>
        <v>-281608</v>
      </c>
      <c r="H53" s="172">
        <f t="shared" si="15"/>
        <v>2094241</v>
      </c>
      <c r="I53" s="172">
        <f>SUM(I47:I51)</f>
        <v>-643825</v>
      </c>
      <c r="J53" s="172">
        <f t="shared" si="15"/>
        <v>-28615</v>
      </c>
      <c r="K53" s="172">
        <f t="shared" si="15"/>
        <v>-26503</v>
      </c>
      <c r="L53" s="172">
        <f t="shared" si="15"/>
        <v>-35168</v>
      </c>
      <c r="M53" s="172">
        <f t="shared" si="15"/>
        <v>-4533</v>
      </c>
      <c r="N53" s="172">
        <f>SUM(N47:N51)</f>
        <v>51292946</v>
      </c>
      <c r="O53" s="165"/>
      <c r="P53" s="165"/>
      <c r="Q53" s="172">
        <f>SUM(Q47:Q51)</f>
        <v>39560057</v>
      </c>
      <c r="T53" s="107"/>
      <c r="U53" s="34" t="s">
        <v>224</v>
      </c>
      <c r="V53" s="145"/>
      <c r="W53" s="145">
        <v>943816</v>
      </c>
      <c r="X53" s="32">
        <f t="shared" si="0"/>
        <v>53</v>
      </c>
    </row>
    <row r="54" spans="1:24" ht="14.25">
      <c r="A54" s="152" t="s">
        <v>11</v>
      </c>
      <c r="B54" s="166">
        <f>'seal-ppty'!G55</f>
        <v>0</v>
      </c>
      <c r="C54" s="166">
        <f>gem!H53</f>
        <v>0</v>
      </c>
      <c r="D54" s="166">
        <v>0</v>
      </c>
      <c r="E54" s="166">
        <v>0</v>
      </c>
      <c r="F54" s="166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166">
        <v>0</v>
      </c>
      <c r="M54" s="166"/>
      <c r="N54" s="166">
        <v>0</v>
      </c>
      <c r="O54" s="165">
        <f>V72+V83</f>
        <v>8511956</v>
      </c>
      <c r="P54" s="165">
        <f>W29+W95</f>
        <v>11865143</v>
      </c>
      <c r="Q54" s="166">
        <f>+N54-O54+P54</f>
        <v>3353187</v>
      </c>
      <c r="T54" s="107"/>
      <c r="U54" s="143" t="s">
        <v>225</v>
      </c>
      <c r="V54" s="145"/>
      <c r="W54" s="145"/>
      <c r="X54" s="32">
        <f t="shared" si="0"/>
        <v>54</v>
      </c>
    </row>
    <row r="55" spans="1:24" ht="15" thickBot="1">
      <c r="A55" s="152"/>
      <c r="B55" s="173">
        <f>'seal-ppty'!G56</f>
        <v>44044323</v>
      </c>
      <c r="C55" s="173">
        <f aca="true" t="shared" si="16" ref="C55:N55">+C53+C54</f>
        <v>3719717</v>
      </c>
      <c r="D55" s="173">
        <f t="shared" si="16"/>
        <v>154722</v>
      </c>
      <c r="E55" s="173">
        <f t="shared" si="16"/>
        <v>1661605</v>
      </c>
      <c r="F55" s="173">
        <f t="shared" si="16"/>
        <v>638590</v>
      </c>
      <c r="G55" s="173">
        <f t="shared" si="16"/>
        <v>-281608</v>
      </c>
      <c r="H55" s="173">
        <f t="shared" si="16"/>
        <v>2094241</v>
      </c>
      <c r="I55" s="173">
        <f t="shared" si="16"/>
        <v>-643825</v>
      </c>
      <c r="J55" s="173">
        <f t="shared" si="16"/>
        <v>-28615</v>
      </c>
      <c r="K55" s="173">
        <f t="shared" si="16"/>
        <v>-26503</v>
      </c>
      <c r="L55" s="173">
        <f t="shared" si="16"/>
        <v>-35168</v>
      </c>
      <c r="M55" s="173">
        <f t="shared" si="16"/>
        <v>-4533</v>
      </c>
      <c r="N55" s="173">
        <f t="shared" si="16"/>
        <v>51292946</v>
      </c>
      <c r="O55" s="171">
        <f>SUM(O8:O54)</f>
        <v>78679532</v>
      </c>
      <c r="P55" s="171">
        <f>SUM(P8:P54)</f>
        <v>78679532</v>
      </c>
      <c r="Q55" s="173">
        <f>+Q53+Q54</f>
        <v>42913244</v>
      </c>
      <c r="T55" s="107"/>
      <c r="U55" s="34" t="s">
        <v>311</v>
      </c>
      <c r="V55" s="145"/>
      <c r="W55" s="145">
        <v>3630325</v>
      </c>
      <c r="X55" s="32">
        <f t="shared" si="0"/>
        <v>55</v>
      </c>
    </row>
    <row r="56" spans="1:24" ht="13.5" thickTop="1">
      <c r="A56" s="32"/>
      <c r="B56" s="19">
        <f aca="true" t="shared" si="17" ref="B56:G56">+B44-B55</f>
        <v>0</v>
      </c>
      <c r="C56" s="19">
        <f t="shared" si="17"/>
        <v>0</v>
      </c>
      <c r="D56" s="19">
        <f t="shared" si="17"/>
        <v>0</v>
      </c>
      <c r="E56" s="19">
        <f t="shared" si="17"/>
        <v>0</v>
      </c>
      <c r="F56" s="19">
        <f t="shared" si="17"/>
        <v>0</v>
      </c>
      <c r="G56" s="19">
        <f t="shared" si="17"/>
        <v>0</v>
      </c>
      <c r="H56" s="19">
        <f aca="true" t="shared" si="18" ref="H56:N56">+H44-H55</f>
        <v>0</v>
      </c>
      <c r="I56" s="19">
        <f t="shared" si="18"/>
        <v>0</v>
      </c>
      <c r="J56" s="19">
        <f t="shared" si="18"/>
        <v>0</v>
      </c>
      <c r="K56" s="19">
        <f t="shared" si="18"/>
        <v>0</v>
      </c>
      <c r="L56" s="19">
        <f t="shared" si="18"/>
        <v>0</v>
      </c>
      <c r="M56" s="19">
        <f t="shared" si="18"/>
        <v>0</v>
      </c>
      <c r="N56" s="19">
        <f t="shared" si="18"/>
        <v>0</v>
      </c>
      <c r="O56" s="19"/>
      <c r="P56" s="19"/>
      <c r="Q56" s="19">
        <f>+Q44-Q55</f>
        <v>0</v>
      </c>
      <c r="T56" s="107"/>
      <c r="U56" s="34" t="s">
        <v>227</v>
      </c>
      <c r="V56" s="145"/>
      <c r="W56" s="145"/>
      <c r="X56" s="32">
        <f t="shared" si="0"/>
        <v>56</v>
      </c>
    </row>
    <row r="57" spans="1:24" ht="12.75">
      <c r="A57" s="3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T57" s="107"/>
      <c r="U57" s="34" t="s">
        <v>384</v>
      </c>
      <c r="V57" s="145"/>
      <c r="W57" s="145">
        <v>69</v>
      </c>
      <c r="X57" s="32">
        <f t="shared" si="0"/>
        <v>57</v>
      </c>
    </row>
    <row r="58" spans="2:24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T58" s="107"/>
      <c r="U58" s="34" t="s">
        <v>254</v>
      </c>
      <c r="V58" s="145">
        <f>W53+W55+W57-V52</f>
        <v>579</v>
      </c>
      <c r="W58" s="110"/>
      <c r="X58" s="32">
        <f t="shared" si="0"/>
        <v>58</v>
      </c>
    </row>
    <row r="59" spans="2:24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07"/>
      <c r="U59" s="12"/>
      <c r="V59" s="145"/>
      <c r="W59" s="145"/>
      <c r="X59" s="32">
        <f t="shared" si="0"/>
        <v>59</v>
      </c>
    </row>
    <row r="60" spans="2:24" ht="12.7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3"/>
      <c r="P60" s="3"/>
      <c r="Q60" s="77"/>
      <c r="T60" s="107"/>
      <c r="U60" s="34" t="s">
        <v>238</v>
      </c>
      <c r="V60" s="145"/>
      <c r="W60" s="145"/>
      <c r="X60" s="32">
        <f t="shared" si="0"/>
        <v>60</v>
      </c>
    </row>
    <row r="61" spans="1:24" ht="12.75">
      <c r="A61" s="32" t="s">
        <v>359</v>
      </c>
      <c r="B61" s="25"/>
      <c r="C61" s="25"/>
      <c r="D61" s="25"/>
      <c r="E61" s="25"/>
      <c r="F61" s="25"/>
      <c r="G61" s="25"/>
      <c r="H61" s="25"/>
      <c r="I61" s="78"/>
      <c r="J61" s="25"/>
      <c r="K61" s="25"/>
      <c r="L61" s="25"/>
      <c r="M61" s="25"/>
      <c r="N61" s="12"/>
      <c r="O61" s="29"/>
      <c r="P61" s="12"/>
      <c r="Q61" s="12"/>
      <c r="T61" s="109"/>
      <c r="U61" s="35"/>
      <c r="V61" s="146"/>
      <c r="W61" s="146"/>
      <c r="X61" s="32">
        <f t="shared" si="0"/>
        <v>61</v>
      </c>
    </row>
    <row r="62" spans="1:24" ht="14.25">
      <c r="A62" s="152" t="s">
        <v>31</v>
      </c>
      <c r="B62" s="159"/>
      <c r="C62" s="159"/>
      <c r="D62" s="159"/>
      <c r="E62" s="159"/>
      <c r="F62" s="159"/>
      <c r="G62" s="159"/>
      <c r="H62" s="159"/>
      <c r="I62" s="174"/>
      <c r="J62" s="159"/>
      <c r="K62" s="159"/>
      <c r="L62" s="159"/>
      <c r="M62" s="159"/>
      <c r="N62" s="159"/>
      <c r="O62" s="159"/>
      <c r="P62" s="159"/>
      <c r="Q62" s="159"/>
      <c r="T62" s="107">
        <v>8</v>
      </c>
      <c r="U62" s="34" t="s">
        <v>194</v>
      </c>
      <c r="V62" s="111">
        <v>1321808</v>
      </c>
      <c r="W62" s="111"/>
      <c r="X62" s="32">
        <f t="shared" si="0"/>
        <v>62</v>
      </c>
    </row>
    <row r="63" spans="1:24" ht="14.25">
      <c r="A63" s="152" t="s">
        <v>19</v>
      </c>
      <c r="B63" s="159"/>
      <c r="C63" s="159"/>
      <c r="D63" s="159"/>
      <c r="E63" s="159"/>
      <c r="F63" s="159"/>
      <c r="G63" s="159"/>
      <c r="H63" s="159"/>
      <c r="I63" s="174"/>
      <c r="J63" s="159"/>
      <c r="K63" s="159"/>
      <c r="L63" s="159"/>
      <c r="M63" s="159"/>
      <c r="N63" s="159"/>
      <c r="O63" s="159"/>
      <c r="P63" s="159"/>
      <c r="Q63" s="159"/>
      <c r="T63" s="107"/>
      <c r="U63" s="34" t="s">
        <v>236</v>
      </c>
      <c r="V63" s="111">
        <v>4190</v>
      </c>
      <c r="W63" s="110"/>
      <c r="X63" s="32">
        <f t="shared" si="0"/>
        <v>63</v>
      </c>
    </row>
    <row r="64" spans="1:24" ht="14.25">
      <c r="A64" s="152" t="s">
        <v>380</v>
      </c>
      <c r="B64" s="159"/>
      <c r="C64" s="159"/>
      <c r="D64" s="159"/>
      <c r="E64" s="159"/>
      <c r="F64" s="159"/>
      <c r="G64" s="159"/>
      <c r="H64" s="159"/>
      <c r="I64" s="174"/>
      <c r="J64" s="159"/>
      <c r="K64" s="159"/>
      <c r="L64" s="159"/>
      <c r="M64" s="159"/>
      <c r="N64" s="159"/>
      <c r="O64" s="159"/>
      <c r="P64" s="159"/>
      <c r="Q64" s="160" t="s">
        <v>33</v>
      </c>
      <c r="T64" s="107"/>
      <c r="U64" s="34" t="s">
        <v>231</v>
      </c>
      <c r="V64" s="111"/>
      <c r="W64" s="111">
        <v>87814</v>
      </c>
      <c r="X64" s="32">
        <f t="shared" si="0"/>
        <v>64</v>
      </c>
    </row>
    <row r="65" spans="1:24" ht="14.25">
      <c r="A65" s="156"/>
      <c r="B65" s="157" t="s">
        <v>34</v>
      </c>
      <c r="C65" s="157" t="s">
        <v>3</v>
      </c>
      <c r="D65" s="157" t="s">
        <v>35</v>
      </c>
      <c r="E65" s="157" t="s">
        <v>36</v>
      </c>
      <c r="F65" s="157" t="s">
        <v>176</v>
      </c>
      <c r="G65" s="157" t="s">
        <v>37</v>
      </c>
      <c r="H65" s="157" t="s">
        <v>175</v>
      </c>
      <c r="I65" s="158" t="s">
        <v>177</v>
      </c>
      <c r="J65" s="157" t="s">
        <v>178</v>
      </c>
      <c r="K65" s="157" t="s">
        <v>179</v>
      </c>
      <c r="L65" s="157" t="s">
        <v>180</v>
      </c>
      <c r="M65" s="157" t="s">
        <v>302</v>
      </c>
      <c r="N65" s="157" t="s">
        <v>181</v>
      </c>
      <c r="O65" s="157" t="s">
        <v>7</v>
      </c>
      <c r="P65" s="157" t="s">
        <v>8</v>
      </c>
      <c r="Q65" s="157" t="s">
        <v>183</v>
      </c>
      <c r="T65" s="107"/>
      <c r="U65" s="34" t="s">
        <v>232</v>
      </c>
      <c r="V65" s="111"/>
      <c r="W65" s="111"/>
      <c r="X65" s="32">
        <f t="shared" si="0"/>
        <v>65</v>
      </c>
    </row>
    <row r="66" spans="1:24" ht="14.25">
      <c r="A66" s="159"/>
      <c r="B66" s="160" t="s">
        <v>10</v>
      </c>
      <c r="C66" s="160" t="s">
        <v>10</v>
      </c>
      <c r="D66" s="160" t="s">
        <v>10</v>
      </c>
      <c r="E66" s="160" t="s">
        <v>10</v>
      </c>
      <c r="F66" s="160" t="s">
        <v>10</v>
      </c>
      <c r="G66" s="160" t="s">
        <v>10</v>
      </c>
      <c r="H66" s="160" t="s">
        <v>10</v>
      </c>
      <c r="I66" s="160" t="s">
        <v>10</v>
      </c>
      <c r="J66" s="160" t="s">
        <v>10</v>
      </c>
      <c r="K66" s="160" t="s">
        <v>10</v>
      </c>
      <c r="L66" s="160" t="s">
        <v>10</v>
      </c>
      <c r="M66" s="160" t="s">
        <v>10</v>
      </c>
      <c r="N66" s="175" t="s">
        <v>10</v>
      </c>
      <c r="O66" s="160" t="s">
        <v>10</v>
      </c>
      <c r="P66" s="160" t="s">
        <v>10</v>
      </c>
      <c r="Q66" s="160" t="s">
        <v>10</v>
      </c>
      <c r="T66" s="107"/>
      <c r="U66" s="34" t="s">
        <v>233</v>
      </c>
      <c r="V66" s="111"/>
      <c r="W66" s="111">
        <v>972519</v>
      </c>
      <c r="X66" s="32">
        <f t="shared" si="0"/>
        <v>66</v>
      </c>
    </row>
    <row r="67" spans="1:24" ht="15" thickBot="1">
      <c r="A67" s="152" t="s">
        <v>21</v>
      </c>
      <c r="B67" s="173">
        <f>'seal-ppty'!D65</f>
        <v>8817069</v>
      </c>
      <c r="C67" s="173">
        <f>gem!H62</f>
        <v>0</v>
      </c>
      <c r="D67" s="176"/>
      <c r="E67" s="176"/>
      <c r="F67" s="176"/>
      <c r="G67" s="173">
        <v>0</v>
      </c>
      <c r="H67" s="173">
        <v>7160</v>
      </c>
      <c r="I67" s="177"/>
      <c r="J67" s="177">
        <v>0</v>
      </c>
      <c r="K67" s="177">
        <v>0</v>
      </c>
      <c r="L67" s="177">
        <v>0</v>
      </c>
      <c r="M67" s="177">
        <v>0</v>
      </c>
      <c r="N67" s="178">
        <f>SUM(B67:M67)</f>
        <v>8824229</v>
      </c>
      <c r="O67" s="179">
        <f>+B167</f>
        <v>0</v>
      </c>
      <c r="P67" s="159"/>
      <c r="Q67" s="180">
        <f>+N67-O67+P67</f>
        <v>8824229</v>
      </c>
      <c r="T67" s="107"/>
      <c r="U67" s="34" t="s">
        <v>234</v>
      </c>
      <c r="V67" s="111"/>
      <c r="W67" s="111">
        <v>171605</v>
      </c>
      <c r="X67" s="32">
        <f aca="true" t="shared" si="19" ref="X67:X99">X66+1</f>
        <v>67</v>
      </c>
    </row>
    <row r="68" spans="1:24" ht="15" thickTop="1">
      <c r="A68" s="152"/>
      <c r="B68" s="159"/>
      <c r="C68" s="165"/>
      <c r="D68" s="159"/>
      <c r="E68" s="159"/>
      <c r="F68" s="159"/>
      <c r="G68" s="159"/>
      <c r="H68" s="159"/>
      <c r="I68" s="174"/>
      <c r="J68" s="159"/>
      <c r="K68" s="159"/>
      <c r="L68" s="159"/>
      <c r="M68" s="159"/>
      <c r="N68" s="159"/>
      <c r="O68" s="159"/>
      <c r="P68" s="159"/>
      <c r="Q68" s="159"/>
      <c r="T68" s="107"/>
      <c r="U68" s="34" t="s">
        <v>235</v>
      </c>
      <c r="V68" s="111"/>
      <c r="W68" s="111">
        <v>94060</v>
      </c>
      <c r="X68" s="32">
        <f t="shared" si="19"/>
        <v>68</v>
      </c>
    </row>
    <row r="69" spans="1:24" ht="14.25">
      <c r="A69" s="152" t="s">
        <v>22</v>
      </c>
      <c r="B69" s="165">
        <f>'seal-ppty'!D67</f>
        <v>-4171458</v>
      </c>
      <c r="C69" s="165">
        <f>gem!H64</f>
        <v>-878203</v>
      </c>
      <c r="D69" s="165">
        <v>56980</v>
      </c>
      <c r="E69" s="165">
        <v>41014</v>
      </c>
      <c r="F69" s="165">
        <v>-7057</v>
      </c>
      <c r="G69" s="165">
        <v>-4821</v>
      </c>
      <c r="H69" s="179">
        <v>-4485</v>
      </c>
      <c r="I69" s="181">
        <f>-ROUND(4014*I4,0)</f>
        <v>-8229</v>
      </c>
      <c r="J69" s="165">
        <v>-1760</v>
      </c>
      <c r="K69" s="165">
        <v>-1146</v>
      </c>
      <c r="L69" s="179">
        <v>-1928</v>
      </c>
      <c r="M69" s="179">
        <v>-1343</v>
      </c>
      <c r="N69" s="175">
        <f>SUM(B69:M69)</f>
        <v>-4982436</v>
      </c>
      <c r="O69" s="179"/>
      <c r="P69" s="165"/>
      <c r="Q69" s="174">
        <f>+N69-O69+P69</f>
        <v>-4982436</v>
      </c>
      <c r="T69" s="107"/>
      <c r="U69" s="12"/>
      <c r="V69" s="148"/>
      <c r="W69" s="148"/>
      <c r="X69" s="32">
        <f t="shared" si="19"/>
        <v>69</v>
      </c>
    </row>
    <row r="70" spans="1:24" ht="14.25">
      <c r="A70" s="152"/>
      <c r="B70" s="160"/>
      <c r="C70" s="175"/>
      <c r="D70" s="159"/>
      <c r="E70" s="159"/>
      <c r="F70" s="159"/>
      <c r="G70" s="160"/>
      <c r="H70" s="160"/>
      <c r="I70" s="174"/>
      <c r="J70" s="160"/>
      <c r="K70" s="160"/>
      <c r="L70" s="160"/>
      <c r="M70" s="160"/>
      <c r="N70" s="160"/>
      <c r="O70" s="159"/>
      <c r="P70" s="159"/>
      <c r="Q70" s="159"/>
      <c r="T70" s="107"/>
      <c r="U70" s="12" t="s">
        <v>310</v>
      </c>
      <c r="V70" s="110"/>
      <c r="W70" s="110"/>
      <c r="X70" s="32">
        <f t="shared" si="19"/>
        <v>70</v>
      </c>
    </row>
    <row r="71" spans="1:24" ht="14.25">
      <c r="A71" s="152" t="s">
        <v>23</v>
      </c>
      <c r="B71" s="182">
        <f>gem!G66</f>
        <v>0</v>
      </c>
      <c r="C71" s="182">
        <f>gem!H66</f>
        <v>0</v>
      </c>
      <c r="D71" s="167">
        <v>0</v>
      </c>
      <c r="E71" s="167">
        <v>0</v>
      </c>
      <c r="F71" s="167">
        <v>0</v>
      </c>
      <c r="G71" s="182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82">
        <f>SUM(B71:M71)</f>
        <v>0</v>
      </c>
      <c r="O71" s="159"/>
      <c r="P71" s="159"/>
      <c r="Q71" s="183">
        <f>+N71-O71+P71</f>
        <v>0</v>
      </c>
      <c r="T71" s="109"/>
      <c r="U71" s="13"/>
      <c r="V71" s="113"/>
      <c r="W71" s="113"/>
      <c r="X71" s="32">
        <f t="shared" si="19"/>
        <v>71</v>
      </c>
    </row>
    <row r="72" spans="1:26" ht="14.25">
      <c r="A72" s="152"/>
      <c r="B72" s="160"/>
      <c r="C72" s="175"/>
      <c r="D72" s="160"/>
      <c r="E72" s="160"/>
      <c r="F72" s="160"/>
      <c r="G72" s="160"/>
      <c r="H72" s="160"/>
      <c r="I72" s="184"/>
      <c r="J72" s="159"/>
      <c r="K72" s="159"/>
      <c r="L72" s="159"/>
      <c r="M72" s="159"/>
      <c r="N72" s="159"/>
      <c r="O72" s="159"/>
      <c r="P72" s="159"/>
      <c r="Q72" s="159"/>
      <c r="T72" s="107">
        <v>9</v>
      </c>
      <c r="U72" s="34" t="s">
        <v>305</v>
      </c>
      <c r="V72" s="145">
        <f>-Y74</f>
        <v>351613</v>
      </c>
      <c r="W72" s="145"/>
      <c r="X72" s="32">
        <f t="shared" si="19"/>
        <v>72</v>
      </c>
      <c r="Y72" s="13">
        <v>10001250</v>
      </c>
      <c r="Z72">
        <f>gem!H68</f>
        <v>-878203</v>
      </c>
    </row>
    <row r="73" spans="1:25" ht="14.25">
      <c r="A73" s="152" t="s">
        <v>24</v>
      </c>
      <c r="B73" s="165">
        <f>+B69-B71</f>
        <v>-4171458</v>
      </c>
      <c r="C73" s="165">
        <f>+C69-C71</f>
        <v>-878203</v>
      </c>
      <c r="D73" s="165">
        <f>+D69-D71</f>
        <v>56980</v>
      </c>
      <c r="E73" s="165">
        <f>+E69-E71</f>
        <v>41014</v>
      </c>
      <c r="F73" s="165">
        <f aca="true" t="shared" si="20" ref="F73:M73">+F69-F71</f>
        <v>-7057</v>
      </c>
      <c r="G73" s="165">
        <f>+G69+G71</f>
        <v>-4821</v>
      </c>
      <c r="H73" s="165">
        <f t="shared" si="20"/>
        <v>-4485</v>
      </c>
      <c r="I73" s="165">
        <f t="shared" si="20"/>
        <v>-8229</v>
      </c>
      <c r="J73" s="165">
        <f t="shared" si="20"/>
        <v>-1760</v>
      </c>
      <c r="K73" s="165">
        <f t="shared" si="20"/>
        <v>-1146</v>
      </c>
      <c r="L73" s="165">
        <f t="shared" si="20"/>
        <v>-1928</v>
      </c>
      <c r="M73" s="165">
        <f t="shared" si="20"/>
        <v>-1343</v>
      </c>
      <c r="N73" s="165">
        <f>+N69+N71</f>
        <v>-4982436</v>
      </c>
      <c r="O73" s="159"/>
      <c r="P73" s="159"/>
      <c r="Q73" s="174">
        <f>SUM(Q69:Q72)</f>
        <v>-4982436</v>
      </c>
      <c r="T73" s="107"/>
      <c r="U73" s="34" t="s">
        <v>217</v>
      </c>
      <c r="V73" s="145"/>
      <c r="W73" s="145">
        <f>-Y74</f>
        <v>351613</v>
      </c>
      <c r="X73" s="32">
        <f t="shared" si="19"/>
        <v>73</v>
      </c>
      <c r="Y73">
        <v>24979500</v>
      </c>
    </row>
    <row r="74" spans="1:25" ht="14.25">
      <c r="A74" s="152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59"/>
      <c r="P74" s="159"/>
      <c r="Q74" s="159"/>
      <c r="T74" s="107"/>
      <c r="U74" s="34"/>
      <c r="V74" s="145"/>
      <c r="W74" s="145"/>
      <c r="X74" s="32">
        <f t="shared" si="19"/>
        <v>74</v>
      </c>
      <c r="Y74">
        <f>ROUND(Y72/Y73*Z72,0)</f>
        <v>-351613</v>
      </c>
    </row>
    <row r="75" spans="1:27" s="12" customFormat="1" ht="14.25">
      <c r="A75" s="152" t="s">
        <v>11</v>
      </c>
      <c r="B75" s="166">
        <f>'seal-ppty'!D73</f>
        <v>0</v>
      </c>
      <c r="C75" s="166">
        <v>0</v>
      </c>
      <c r="D75" s="166">
        <v>0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v>0</v>
      </c>
      <c r="M75" s="166">
        <v>0</v>
      </c>
      <c r="N75" s="182">
        <f>SUM(B75:L75)</f>
        <v>0</v>
      </c>
      <c r="O75" s="165"/>
      <c r="P75" s="165">
        <f>W73</f>
        <v>351613</v>
      </c>
      <c r="Q75" s="183">
        <f>+N75-O75+P75</f>
        <v>351613</v>
      </c>
      <c r="R75"/>
      <c r="T75" s="107"/>
      <c r="U75" s="34" t="s">
        <v>228</v>
      </c>
      <c r="V75" s="145"/>
      <c r="W75" s="145"/>
      <c r="X75" s="32">
        <f t="shared" si="19"/>
        <v>75</v>
      </c>
      <c r="Y75"/>
      <c r="Z75"/>
      <c r="AA75"/>
    </row>
    <row r="76" spans="1:24" ht="14.25">
      <c r="A76" s="152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59"/>
      <c r="P76" s="159"/>
      <c r="Q76" s="159"/>
      <c r="T76" s="107"/>
      <c r="U76" s="34" t="s">
        <v>387</v>
      </c>
      <c r="V76" s="145"/>
      <c r="W76" s="145"/>
      <c r="X76" s="32">
        <f t="shared" si="19"/>
        <v>76</v>
      </c>
    </row>
    <row r="77" spans="1:24" ht="14.25">
      <c r="A77" s="152" t="s">
        <v>25</v>
      </c>
      <c r="B77" s="165">
        <f>+B73+B75</f>
        <v>-4171458</v>
      </c>
      <c r="C77" s="165">
        <f>+C73+C75</f>
        <v>-878203</v>
      </c>
      <c r="D77" s="165">
        <f>+D73+D75</f>
        <v>56980</v>
      </c>
      <c r="E77" s="165">
        <f aca="true" t="shared" si="21" ref="E77:N77">+E73+E75</f>
        <v>41014</v>
      </c>
      <c r="F77" s="165">
        <f t="shared" si="21"/>
        <v>-7057</v>
      </c>
      <c r="G77" s="165">
        <f t="shared" si="21"/>
        <v>-4821</v>
      </c>
      <c r="H77" s="165">
        <f t="shared" si="21"/>
        <v>-4485</v>
      </c>
      <c r="I77" s="165">
        <f t="shared" si="21"/>
        <v>-8229</v>
      </c>
      <c r="J77" s="165">
        <f t="shared" si="21"/>
        <v>-1760</v>
      </c>
      <c r="K77" s="165">
        <f t="shared" si="21"/>
        <v>-1146</v>
      </c>
      <c r="L77" s="165">
        <f t="shared" si="21"/>
        <v>-1928</v>
      </c>
      <c r="M77" s="165">
        <f t="shared" si="21"/>
        <v>-1343</v>
      </c>
      <c r="N77" s="165">
        <f t="shared" si="21"/>
        <v>-4982436</v>
      </c>
      <c r="O77" s="165"/>
      <c r="P77" s="159"/>
      <c r="Q77" s="174">
        <f>SUM(Q73:Q76)</f>
        <v>-4630823</v>
      </c>
      <c r="T77" s="109"/>
      <c r="U77" s="35"/>
      <c r="V77" s="146"/>
      <c r="W77" s="146"/>
      <c r="X77" s="32">
        <f t="shared" si="19"/>
        <v>77</v>
      </c>
    </row>
    <row r="78" spans="1:24" ht="14.25">
      <c r="A78" s="152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59"/>
      <c r="P78" s="159"/>
      <c r="Q78" s="159"/>
      <c r="T78" s="107">
        <v>10</v>
      </c>
      <c r="U78" s="34" t="s">
        <v>229</v>
      </c>
      <c r="V78" s="145">
        <v>139914</v>
      </c>
      <c r="W78" s="145"/>
      <c r="X78" s="32">
        <f t="shared" si="19"/>
        <v>78</v>
      </c>
    </row>
    <row r="79" spans="1:24" ht="14.25">
      <c r="A79" s="152" t="s">
        <v>26</v>
      </c>
      <c r="B79" s="166">
        <f>'seal-ppty'!D77</f>
        <v>0</v>
      </c>
      <c r="C79" s="166">
        <f>gem!H74</f>
        <v>0</v>
      </c>
      <c r="D79" s="166">
        <v>0</v>
      </c>
      <c r="E79" s="166">
        <v>0</v>
      </c>
      <c r="F79" s="166">
        <v>0</v>
      </c>
      <c r="G79" s="166">
        <v>0</v>
      </c>
      <c r="H79" s="166">
        <v>0</v>
      </c>
      <c r="I79" s="166">
        <v>0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59"/>
      <c r="P79" s="159"/>
      <c r="Q79" s="183">
        <f>+N79-O79+P79</f>
        <v>0</v>
      </c>
      <c r="T79" s="107"/>
      <c r="U79" s="34" t="s">
        <v>184</v>
      </c>
      <c r="V79" s="145"/>
      <c r="W79" s="145">
        <v>139914</v>
      </c>
      <c r="X79" s="32">
        <f t="shared" si="19"/>
        <v>79</v>
      </c>
    </row>
    <row r="80" spans="1:24" ht="14.25">
      <c r="A80" s="152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59"/>
      <c r="P80" s="159"/>
      <c r="Q80" s="159"/>
      <c r="T80" s="107"/>
      <c r="U80" s="34"/>
      <c r="V80" s="145"/>
      <c r="W80" s="145"/>
      <c r="X80" s="32">
        <f t="shared" si="19"/>
        <v>80</v>
      </c>
    </row>
    <row r="81" spans="1:24" ht="14.25">
      <c r="A81" s="152" t="s">
        <v>27</v>
      </c>
      <c r="B81" s="165">
        <f>+B77+B79</f>
        <v>-4171458</v>
      </c>
      <c r="C81" s="165">
        <f>+C77+C79</f>
        <v>-878203</v>
      </c>
      <c r="D81" s="165">
        <f aca="true" t="shared" si="22" ref="D81:N81">+D77+D79</f>
        <v>56980</v>
      </c>
      <c r="E81" s="165">
        <f t="shared" si="22"/>
        <v>41014</v>
      </c>
      <c r="F81" s="165">
        <f t="shared" si="22"/>
        <v>-7057</v>
      </c>
      <c r="G81" s="165">
        <f t="shared" si="22"/>
        <v>-4821</v>
      </c>
      <c r="H81" s="165">
        <f t="shared" si="22"/>
        <v>-4485</v>
      </c>
      <c r="I81" s="165">
        <f t="shared" si="22"/>
        <v>-8229</v>
      </c>
      <c r="J81" s="165">
        <f t="shared" si="22"/>
        <v>-1760</v>
      </c>
      <c r="K81" s="165">
        <f t="shared" si="22"/>
        <v>-1146</v>
      </c>
      <c r="L81" s="165">
        <f t="shared" si="22"/>
        <v>-1928</v>
      </c>
      <c r="M81" s="165">
        <f t="shared" si="22"/>
        <v>-1343</v>
      </c>
      <c r="N81" s="165">
        <f t="shared" si="22"/>
        <v>-4982436</v>
      </c>
      <c r="O81" s="165"/>
      <c r="P81" s="165"/>
      <c r="Q81" s="165">
        <f>+Q77+Q79</f>
        <v>-4630823</v>
      </c>
      <c r="T81" s="107"/>
      <c r="U81" s="34" t="s">
        <v>230</v>
      </c>
      <c r="V81" s="145"/>
      <c r="W81" s="145"/>
      <c r="X81" s="32">
        <f t="shared" si="19"/>
        <v>81</v>
      </c>
    </row>
    <row r="82" spans="1:27" ht="14.25">
      <c r="A82" s="152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59"/>
      <c r="P82" s="159"/>
      <c r="Q82" s="174"/>
      <c r="T82" s="109"/>
      <c r="U82" s="35"/>
      <c r="V82" s="146"/>
      <c r="W82" s="146"/>
      <c r="X82" s="32">
        <f t="shared" si="19"/>
        <v>82</v>
      </c>
      <c r="Y82" s="12"/>
      <c r="Z82" s="12"/>
      <c r="AA82" s="12"/>
    </row>
    <row r="83" spans="1:26" ht="14.25">
      <c r="A83" s="152" t="s">
        <v>174</v>
      </c>
      <c r="B83" s="166">
        <f>'seal-ppty'!D81</f>
        <v>-314079999</v>
      </c>
      <c r="C83" s="166">
        <f>gem!H78</f>
        <v>-20381580</v>
      </c>
      <c r="D83" s="166">
        <v>-602258</v>
      </c>
      <c r="E83" s="166">
        <v>-2879409</v>
      </c>
      <c r="F83" s="166">
        <v>-604353</v>
      </c>
      <c r="G83" s="166">
        <v>-276789</v>
      </c>
      <c r="H83" s="166">
        <v>98726</v>
      </c>
      <c r="I83" s="166">
        <v>-495688</v>
      </c>
      <c r="J83" s="166">
        <v>-26857</v>
      </c>
      <c r="K83" s="166">
        <v>-25359</v>
      </c>
      <c r="L83" s="166">
        <v>-33242</v>
      </c>
      <c r="M83" s="166">
        <v>-3290</v>
      </c>
      <c r="N83" s="182">
        <f>SUM(B83:M83)</f>
        <v>-339310098</v>
      </c>
      <c r="O83" s="179">
        <f>+V35+V89+V94</f>
        <v>2090312</v>
      </c>
      <c r="P83" s="179">
        <f>W11+W31+W41+W55+W66+W67+W84</f>
        <v>23341292</v>
      </c>
      <c r="Q83" s="183">
        <f>+N83-O83+P83</f>
        <v>-318059118</v>
      </c>
      <c r="T83" s="107">
        <v>11</v>
      </c>
      <c r="U83" s="34" t="s">
        <v>305</v>
      </c>
      <c r="V83" s="111">
        <f>-Y85</f>
        <v>8160343</v>
      </c>
      <c r="W83" s="110"/>
      <c r="X83" s="32">
        <f t="shared" si="19"/>
        <v>83</v>
      </c>
      <c r="Y83" s="13">
        <v>10001250</v>
      </c>
      <c r="Z83">
        <f>gem!H78</f>
        <v>-20381580</v>
      </c>
    </row>
    <row r="84" spans="1:25" ht="14.25">
      <c r="A84" s="152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59"/>
      <c r="P84" s="159"/>
      <c r="Q84" s="159"/>
      <c r="T84" s="107"/>
      <c r="U84" s="34" t="s">
        <v>217</v>
      </c>
      <c r="V84" s="145"/>
      <c r="W84" s="145">
        <f>-Y85</f>
        <v>8160343</v>
      </c>
      <c r="X84" s="32">
        <f t="shared" si="19"/>
        <v>84</v>
      </c>
      <c r="Y84">
        <v>24979500</v>
      </c>
    </row>
    <row r="85" spans="1:25" ht="14.25">
      <c r="A85" s="152" t="s">
        <v>28</v>
      </c>
      <c r="B85" s="165">
        <f>'seal-ppty'!D83</f>
        <v>-318251457</v>
      </c>
      <c r="C85" s="165">
        <f>+C81+C83</f>
        <v>-21259783</v>
      </c>
      <c r="D85" s="165">
        <f>+D81+D83</f>
        <v>-545278</v>
      </c>
      <c r="E85" s="165">
        <f>+E81+E83</f>
        <v>-2838395</v>
      </c>
      <c r="F85" s="165">
        <f aca="true" t="shared" si="23" ref="F85:N85">+F81+F83</f>
        <v>-611410</v>
      </c>
      <c r="G85" s="165">
        <f t="shared" si="23"/>
        <v>-281610</v>
      </c>
      <c r="H85" s="165">
        <f t="shared" si="23"/>
        <v>94241</v>
      </c>
      <c r="I85" s="165">
        <f t="shared" si="23"/>
        <v>-503917</v>
      </c>
      <c r="J85" s="165">
        <f t="shared" si="23"/>
        <v>-28617</v>
      </c>
      <c r="K85" s="165">
        <f t="shared" si="23"/>
        <v>-26505</v>
      </c>
      <c r="L85" s="165">
        <f t="shared" si="23"/>
        <v>-35170</v>
      </c>
      <c r="M85" s="165">
        <f t="shared" si="23"/>
        <v>-4633</v>
      </c>
      <c r="N85" s="165">
        <f t="shared" si="23"/>
        <v>-344292534</v>
      </c>
      <c r="O85" s="159"/>
      <c r="P85" s="159"/>
      <c r="Q85" s="174">
        <f>SUM(Q81:Q84)</f>
        <v>-322689941</v>
      </c>
      <c r="T85" s="107"/>
      <c r="U85" s="12"/>
      <c r="V85" s="110"/>
      <c r="W85" s="110"/>
      <c r="X85" s="32">
        <f t="shared" si="19"/>
        <v>85</v>
      </c>
      <c r="Y85">
        <f>ROUND(Y83/Y84*Z83,0)</f>
        <v>-8160343</v>
      </c>
    </row>
    <row r="86" spans="1:24" ht="14.25">
      <c r="A86" s="152"/>
      <c r="B86" s="165"/>
      <c r="C86" s="165"/>
      <c r="D86" s="165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59"/>
      <c r="P86" s="159"/>
      <c r="Q86" s="159"/>
      <c r="T86" s="107"/>
      <c r="U86" s="34" t="s">
        <v>304</v>
      </c>
      <c r="V86" s="110"/>
      <c r="W86" s="110"/>
      <c r="X86" s="32">
        <f t="shared" si="19"/>
        <v>86</v>
      </c>
    </row>
    <row r="87" spans="1:24" ht="14.25">
      <c r="A87" s="152" t="s">
        <v>29</v>
      </c>
      <c r="B87" s="165">
        <f>'seal-ppty'!D85</f>
        <v>0</v>
      </c>
      <c r="C87" s="165">
        <f>gem!H82</f>
        <v>0</v>
      </c>
      <c r="D87" s="165">
        <v>0</v>
      </c>
      <c r="E87" s="165">
        <v>0</v>
      </c>
      <c r="F87" s="165">
        <v>0</v>
      </c>
      <c r="G87" s="165">
        <v>0</v>
      </c>
      <c r="H87" s="165">
        <v>0</v>
      </c>
      <c r="I87" s="165">
        <v>0</v>
      </c>
      <c r="J87" s="165">
        <v>0</v>
      </c>
      <c r="K87" s="165">
        <v>0</v>
      </c>
      <c r="L87" s="165">
        <v>0</v>
      </c>
      <c r="M87" s="165">
        <v>0</v>
      </c>
      <c r="N87" s="165">
        <v>0</v>
      </c>
      <c r="O87" s="159"/>
      <c r="P87" s="159"/>
      <c r="Q87" s="174">
        <f>+N87-O87+P87</f>
        <v>0</v>
      </c>
      <c r="T87" s="107"/>
      <c r="U87" s="34" t="s">
        <v>386</v>
      </c>
      <c r="V87" s="110"/>
      <c r="W87" s="110"/>
      <c r="X87" s="32">
        <f t="shared" si="19"/>
        <v>87</v>
      </c>
    </row>
    <row r="88" spans="1:25" ht="14.25">
      <c r="A88" s="152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59"/>
      <c r="P88" s="159"/>
      <c r="Q88" s="159"/>
      <c r="T88" s="109"/>
      <c r="U88" s="13"/>
      <c r="V88" s="147"/>
      <c r="W88" s="146"/>
      <c r="X88" s="32">
        <f t="shared" si="19"/>
        <v>88</v>
      </c>
      <c r="Y88" s="32"/>
    </row>
    <row r="89" spans="1:24" ht="15" thickBot="1">
      <c r="A89" s="152" t="s">
        <v>30</v>
      </c>
      <c r="B89" s="171">
        <f>+B85+B87</f>
        <v>-318251457</v>
      </c>
      <c r="C89" s="171">
        <f>+C85+C87</f>
        <v>-21259783</v>
      </c>
      <c r="D89" s="171">
        <f>+D85+D87</f>
        <v>-545278</v>
      </c>
      <c r="E89" s="171">
        <f>+E85+E87</f>
        <v>-2838395</v>
      </c>
      <c r="F89" s="171">
        <f aca="true" t="shared" si="24" ref="F89:N89">+F85+F87</f>
        <v>-611410</v>
      </c>
      <c r="G89" s="171">
        <f t="shared" si="24"/>
        <v>-281610</v>
      </c>
      <c r="H89" s="171">
        <f t="shared" si="24"/>
        <v>94241</v>
      </c>
      <c r="I89" s="171">
        <f t="shared" si="24"/>
        <v>-503917</v>
      </c>
      <c r="J89" s="171">
        <f t="shared" si="24"/>
        <v>-28617</v>
      </c>
      <c r="K89" s="171">
        <f t="shared" si="24"/>
        <v>-26505</v>
      </c>
      <c r="L89" s="171">
        <f t="shared" si="24"/>
        <v>-35170</v>
      </c>
      <c r="M89" s="171">
        <f t="shared" si="24"/>
        <v>-4633</v>
      </c>
      <c r="N89" s="171">
        <f t="shared" si="24"/>
        <v>-344292534</v>
      </c>
      <c r="O89" s="171">
        <f>SUM(O69:O88)</f>
        <v>2090312</v>
      </c>
      <c r="P89" s="171">
        <f>SUM(P69:P88)</f>
        <v>23692905</v>
      </c>
      <c r="Q89" s="171">
        <f>+Q85+Q87</f>
        <v>-322689941</v>
      </c>
      <c r="T89" s="107">
        <v>12</v>
      </c>
      <c r="U89" s="34" t="s">
        <v>237</v>
      </c>
      <c r="V89" s="111">
        <v>24148</v>
      </c>
      <c r="W89" s="110"/>
      <c r="X89" s="32">
        <f t="shared" si="19"/>
        <v>89</v>
      </c>
    </row>
    <row r="90" spans="1:24" ht="13.5" thickTop="1">
      <c r="A90" s="3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2"/>
      <c r="P90" s="12"/>
      <c r="Q90" s="29"/>
      <c r="T90" s="107"/>
      <c r="U90" s="34" t="s">
        <v>226</v>
      </c>
      <c r="V90" s="145"/>
      <c r="W90" s="145">
        <v>24148</v>
      </c>
      <c r="X90" s="32">
        <f t="shared" si="19"/>
        <v>90</v>
      </c>
    </row>
    <row r="91" spans="2:24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29"/>
      <c r="M91" s="29"/>
      <c r="N91" s="3"/>
      <c r="O91" s="29"/>
      <c r="P91" s="29"/>
      <c r="T91" s="107"/>
      <c r="U91" s="12"/>
      <c r="V91" s="110"/>
      <c r="W91" s="110"/>
      <c r="X91" s="32">
        <f t="shared" si="19"/>
        <v>91</v>
      </c>
    </row>
    <row r="92" spans="2:24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2"/>
      <c r="T92" s="107"/>
      <c r="U92" s="12" t="s">
        <v>239</v>
      </c>
      <c r="V92" s="110"/>
      <c r="W92" s="110"/>
      <c r="X92" s="32">
        <f t="shared" si="19"/>
        <v>92</v>
      </c>
    </row>
    <row r="93" spans="2:24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29"/>
      <c r="P93" s="12"/>
      <c r="Q93" s="29"/>
      <c r="T93" s="109"/>
      <c r="U93" s="13" t="s">
        <v>240</v>
      </c>
      <c r="V93" s="113"/>
      <c r="W93" s="113"/>
      <c r="X93" s="32">
        <f t="shared" si="19"/>
        <v>93</v>
      </c>
    </row>
    <row r="94" spans="2:24" ht="12.7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29"/>
      <c r="P94" s="29"/>
      <c r="Q94" s="29"/>
      <c r="T94" s="107">
        <v>13</v>
      </c>
      <c r="U94" s="139" t="s">
        <v>237</v>
      </c>
      <c r="V94" s="148">
        <v>1863844</v>
      </c>
      <c r="W94" s="148"/>
      <c r="X94" s="32">
        <f t="shared" si="19"/>
        <v>94</v>
      </c>
    </row>
    <row r="95" spans="2:24" ht="12.75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2"/>
      <c r="P95" s="12"/>
      <c r="Q95" s="12"/>
      <c r="T95" s="110"/>
      <c r="U95" s="139" t="s">
        <v>306</v>
      </c>
      <c r="V95" s="110"/>
      <c r="W95" s="111">
        <v>1863844</v>
      </c>
      <c r="X95" s="32">
        <f t="shared" si="19"/>
        <v>95</v>
      </c>
    </row>
    <row r="96" spans="2:24" ht="12.75" customHeight="1">
      <c r="B96" s="3"/>
      <c r="C96" s="3"/>
      <c r="D96" s="3"/>
      <c r="E96" s="10"/>
      <c r="F96" s="3"/>
      <c r="G96" s="3"/>
      <c r="H96" s="3"/>
      <c r="I96" s="3"/>
      <c r="J96" s="3"/>
      <c r="K96" s="3"/>
      <c r="L96" s="3"/>
      <c r="M96" s="3"/>
      <c r="N96" s="3"/>
      <c r="O96" s="12"/>
      <c r="P96" s="12"/>
      <c r="Q96" s="12"/>
      <c r="T96" s="110"/>
      <c r="U96" s="12"/>
      <c r="V96" s="110"/>
      <c r="W96" s="110"/>
      <c r="X96" s="32">
        <f t="shared" si="19"/>
        <v>96</v>
      </c>
    </row>
    <row r="97" spans="2:24" ht="12.75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2"/>
      <c r="P97" s="12"/>
      <c r="Q97" s="12"/>
      <c r="T97" s="110"/>
      <c r="U97" s="12" t="s">
        <v>307</v>
      </c>
      <c r="V97" s="110"/>
      <c r="W97" s="110"/>
      <c r="X97" s="32">
        <f t="shared" si="19"/>
        <v>97</v>
      </c>
    </row>
    <row r="98" spans="20:24" ht="12.75" customHeight="1">
      <c r="T98" s="113"/>
      <c r="U98" s="13" t="s">
        <v>385</v>
      </c>
      <c r="V98" s="113"/>
      <c r="W98" s="113"/>
      <c r="X98" s="32">
        <f t="shared" si="19"/>
        <v>98</v>
      </c>
    </row>
    <row r="99" spans="22:24" ht="12.75" customHeight="1" thickBot="1">
      <c r="V99" s="187">
        <f>SUM(V5:V98)</f>
        <v>78679532</v>
      </c>
      <c r="W99" s="187">
        <f>SUM(W5:W98)</f>
        <v>78679532</v>
      </c>
      <c r="X99" s="32">
        <f t="shared" si="19"/>
        <v>99</v>
      </c>
    </row>
    <row r="100" spans="4:24" ht="12.75" customHeight="1" thickTop="1">
      <c r="D100" s="11"/>
      <c r="X100" s="32"/>
    </row>
    <row r="101" spans="1:24" ht="12.75" customHeight="1">
      <c r="A101" s="34" t="s">
        <v>241</v>
      </c>
      <c r="B101" s="12"/>
      <c r="W101" s="27"/>
      <c r="X101" s="32"/>
    </row>
    <row r="102" spans="1:24" ht="12.75" customHeight="1">
      <c r="A102" t="s">
        <v>382</v>
      </c>
      <c r="B102" s="11"/>
      <c r="C102" s="11"/>
      <c r="D102" s="30" t="s">
        <v>362</v>
      </c>
      <c r="E102" s="30" t="s">
        <v>34</v>
      </c>
      <c r="F102" s="11"/>
      <c r="X102" s="32"/>
    </row>
    <row r="103" spans="2:24" ht="12.75" customHeight="1">
      <c r="B103" s="85" t="s">
        <v>34</v>
      </c>
      <c r="C103" s="85" t="s">
        <v>3</v>
      </c>
      <c r="D103" s="85" t="s">
        <v>363</v>
      </c>
      <c r="E103" s="85" t="s">
        <v>364</v>
      </c>
      <c r="F103" s="85" t="s">
        <v>37</v>
      </c>
      <c r="G103" s="14" t="s">
        <v>6</v>
      </c>
      <c r="H103" s="25"/>
      <c r="I103" s="29"/>
      <c r="X103" s="32"/>
    </row>
    <row r="104" spans="1:24" ht="12.75" customHeight="1">
      <c r="A104" s="141" t="s">
        <v>55</v>
      </c>
      <c r="B104" s="30" t="s">
        <v>10</v>
      </c>
      <c r="C104" s="30" t="s">
        <v>10</v>
      </c>
      <c r="D104" s="30" t="s">
        <v>10</v>
      </c>
      <c r="E104" s="30" t="s">
        <v>10</v>
      </c>
      <c r="F104" s="30" t="s">
        <v>10</v>
      </c>
      <c r="G104" s="11" t="s">
        <v>10</v>
      </c>
      <c r="H104" s="11"/>
      <c r="I104" s="28"/>
      <c r="X104" s="32"/>
    </row>
    <row r="105" spans="2:25" ht="12.75" customHeight="1">
      <c r="B105" s="1">
        <v>6575</v>
      </c>
      <c r="C105" s="1">
        <v>3701</v>
      </c>
      <c r="D105" s="1">
        <v>13</v>
      </c>
      <c r="E105" s="188">
        <v>0</v>
      </c>
      <c r="F105" s="1">
        <v>1305</v>
      </c>
      <c r="G105" s="1">
        <f>SUM(B105:F105)</f>
        <v>11594</v>
      </c>
      <c r="Y105" s="29"/>
    </row>
    <row r="106" spans="2:7" ht="12.75" customHeight="1">
      <c r="B106" s="1">
        <v>1105</v>
      </c>
      <c r="C106" s="1">
        <v>6100</v>
      </c>
      <c r="D106" s="1"/>
      <c r="E106" s="1"/>
      <c r="F106" s="1"/>
      <c r="G106" s="1">
        <f aca="true" t="shared" si="25" ref="G106:G121">SUM(B106:F106)</f>
        <v>7205</v>
      </c>
    </row>
    <row r="107" spans="2:7" ht="12.75" customHeight="1">
      <c r="B107" s="1">
        <v>4650</v>
      </c>
      <c r="C107" s="1">
        <v>5176</v>
      </c>
      <c r="D107" s="1"/>
      <c r="E107" s="1"/>
      <c r="F107" s="1"/>
      <c r="G107" s="1">
        <f t="shared" si="25"/>
        <v>9826</v>
      </c>
    </row>
    <row r="108" spans="2:7" ht="12.75" customHeight="1">
      <c r="B108" s="1">
        <v>27226</v>
      </c>
      <c r="C108" s="1">
        <v>7198</v>
      </c>
      <c r="D108" s="1"/>
      <c r="E108" s="1"/>
      <c r="F108" s="1"/>
      <c r="G108" s="1">
        <f t="shared" si="25"/>
        <v>34424</v>
      </c>
    </row>
    <row r="109" spans="2:7" ht="12.75" customHeight="1">
      <c r="B109" s="1">
        <v>34348</v>
      </c>
      <c r="C109" s="1">
        <v>1375</v>
      </c>
      <c r="D109" s="1"/>
      <c r="E109" s="1"/>
      <c r="F109" s="1"/>
      <c r="G109" s="1">
        <f t="shared" si="25"/>
        <v>35723</v>
      </c>
    </row>
    <row r="110" spans="2:7" ht="12.75" customHeight="1">
      <c r="B110" s="1">
        <v>71676</v>
      </c>
      <c r="C110" s="1">
        <v>70592</v>
      </c>
      <c r="D110" s="1"/>
      <c r="E110" s="1"/>
      <c r="F110" s="1"/>
      <c r="G110" s="1">
        <f t="shared" si="25"/>
        <v>142268</v>
      </c>
    </row>
    <row r="111" spans="2:7" ht="12.75" customHeight="1">
      <c r="B111" s="1">
        <v>3478</v>
      </c>
      <c r="C111" s="26">
        <v>21170</v>
      </c>
      <c r="D111" s="1"/>
      <c r="E111" s="1"/>
      <c r="F111" s="1"/>
      <c r="G111" s="1">
        <f t="shared" si="25"/>
        <v>24648</v>
      </c>
    </row>
    <row r="112" spans="2:7" ht="12.75" customHeight="1">
      <c r="B112" s="1">
        <v>29912</v>
      </c>
      <c r="C112" s="26">
        <v>208710</v>
      </c>
      <c r="D112" s="1"/>
      <c r="E112" s="1"/>
      <c r="F112" s="1"/>
      <c r="G112" s="1">
        <f t="shared" si="25"/>
        <v>238622</v>
      </c>
    </row>
    <row r="113" spans="2:7" ht="12.75" customHeight="1">
      <c r="B113" s="1">
        <v>568030</v>
      </c>
      <c r="C113" s="26">
        <v>7198</v>
      </c>
      <c r="D113" s="1"/>
      <c r="E113" s="1"/>
      <c r="F113" s="1"/>
      <c r="G113" s="1">
        <f t="shared" si="25"/>
        <v>575228</v>
      </c>
    </row>
    <row r="114" spans="2:7" ht="12.75" customHeight="1">
      <c r="B114" s="1">
        <v>9715</v>
      </c>
      <c r="C114" s="1">
        <v>7844</v>
      </c>
      <c r="D114" s="1"/>
      <c r="E114" s="1"/>
      <c r="F114" s="1"/>
      <c r="G114" s="1">
        <f t="shared" si="25"/>
        <v>17559</v>
      </c>
    </row>
    <row r="115" spans="2:7" ht="12.75">
      <c r="B115" s="1">
        <v>1105</v>
      </c>
      <c r="C115" s="1">
        <v>9967</v>
      </c>
      <c r="D115" s="1"/>
      <c r="E115" s="1"/>
      <c r="F115" s="1"/>
      <c r="G115" s="1">
        <f t="shared" si="25"/>
        <v>11072</v>
      </c>
    </row>
    <row r="116" spans="2:7" ht="12.75">
      <c r="B116" s="1">
        <v>338940</v>
      </c>
      <c r="C116" s="1">
        <v>170</v>
      </c>
      <c r="D116" s="1"/>
      <c r="E116" s="1"/>
      <c r="F116" s="1"/>
      <c r="G116" s="1">
        <f t="shared" si="25"/>
        <v>339110</v>
      </c>
    </row>
    <row r="117" spans="2:7" ht="12.75">
      <c r="B117" s="1">
        <v>782</v>
      </c>
      <c r="C117" s="1"/>
      <c r="D117" s="1"/>
      <c r="E117" s="1"/>
      <c r="F117" s="1"/>
      <c r="G117" s="1">
        <f t="shared" si="25"/>
        <v>782</v>
      </c>
    </row>
    <row r="118" spans="2:7" ht="12.75">
      <c r="B118" s="1">
        <v>162658</v>
      </c>
      <c r="C118" s="1"/>
      <c r="D118" s="1"/>
      <c r="E118" s="1"/>
      <c r="F118" s="1"/>
      <c r="G118" s="1">
        <f t="shared" si="25"/>
        <v>162658</v>
      </c>
    </row>
    <row r="119" spans="2:7" ht="12.75">
      <c r="B119" s="1">
        <v>2317</v>
      </c>
      <c r="C119" s="1"/>
      <c r="D119" s="1"/>
      <c r="E119" s="1"/>
      <c r="F119" s="1"/>
      <c r="G119" s="1">
        <f t="shared" si="25"/>
        <v>2317</v>
      </c>
    </row>
    <row r="120" spans="2:7" ht="12.75">
      <c r="B120" s="1">
        <v>9715</v>
      </c>
      <c r="C120" s="1"/>
      <c r="D120" s="1"/>
      <c r="E120" s="1"/>
      <c r="F120" s="1"/>
      <c r="G120" s="1">
        <f t="shared" si="25"/>
        <v>9715</v>
      </c>
    </row>
    <row r="121" spans="2:7" ht="12.75">
      <c r="B121" s="1">
        <v>4111</v>
      </c>
      <c r="C121" s="1"/>
      <c r="D121" s="1"/>
      <c r="E121" s="1"/>
      <c r="F121" s="1"/>
      <c r="G121" s="1">
        <f t="shared" si="25"/>
        <v>4111</v>
      </c>
    </row>
    <row r="122" spans="2:7" ht="12.75">
      <c r="B122" s="1"/>
      <c r="C122" s="1"/>
      <c r="D122" s="1"/>
      <c r="E122" s="1"/>
      <c r="F122" s="1"/>
      <c r="G122" s="1"/>
    </row>
    <row r="123" spans="2:7" ht="13.5" thickBot="1">
      <c r="B123" s="15">
        <f aca="true" t="shared" si="26" ref="B123:G123">SUM(B105:B122)</f>
        <v>1276343</v>
      </c>
      <c r="C123" s="15">
        <f t="shared" si="26"/>
        <v>349201</v>
      </c>
      <c r="D123" s="15">
        <f t="shared" si="26"/>
        <v>13</v>
      </c>
      <c r="E123" s="15">
        <f t="shared" si="26"/>
        <v>0</v>
      </c>
      <c r="F123" s="15">
        <f t="shared" si="26"/>
        <v>1305</v>
      </c>
      <c r="G123" s="15">
        <f t="shared" si="26"/>
        <v>1626862</v>
      </c>
    </row>
    <row r="124" spans="2:7" ht="13.5" thickTop="1">
      <c r="B124" s="1"/>
      <c r="C124" s="1"/>
      <c r="D124" s="1"/>
      <c r="E124" s="1"/>
      <c r="F124" s="1"/>
      <c r="G124" s="1">
        <f>SUM(B123:F123)</f>
        <v>1626862</v>
      </c>
    </row>
    <row r="125" spans="2:24" ht="12.75">
      <c r="B125" s="1"/>
      <c r="C125" s="1"/>
      <c r="D125" s="1"/>
      <c r="E125" s="1"/>
      <c r="F125" s="1"/>
      <c r="G125" s="1"/>
      <c r="W125" s="27"/>
      <c r="X125" s="27"/>
    </row>
    <row r="126" spans="2:7" ht="12.75">
      <c r="B126" s="1"/>
      <c r="C126" s="1"/>
      <c r="D126" s="1"/>
      <c r="E126" s="1"/>
      <c r="F126" s="1"/>
      <c r="G126" s="1"/>
    </row>
    <row r="127" spans="2:4" ht="12.75">
      <c r="B127" s="11"/>
      <c r="C127" s="11"/>
      <c r="D127" s="30" t="s">
        <v>34</v>
      </c>
    </row>
    <row r="128" spans="2:7" ht="12.75">
      <c r="B128" s="85" t="s">
        <v>34</v>
      </c>
      <c r="C128" s="85" t="s">
        <v>3</v>
      </c>
      <c r="D128" s="85" t="s">
        <v>365</v>
      </c>
      <c r="E128" s="14"/>
      <c r="F128" s="14"/>
      <c r="G128" s="14" t="s">
        <v>6</v>
      </c>
    </row>
    <row r="129" spans="1:7" ht="12.75">
      <c r="A129" s="141" t="s">
        <v>56</v>
      </c>
      <c r="B129" s="30" t="s">
        <v>10</v>
      </c>
      <c r="C129" s="30" t="s">
        <v>10</v>
      </c>
      <c r="D129" s="30" t="s">
        <v>10</v>
      </c>
      <c r="E129" s="30"/>
      <c r="F129" s="11"/>
      <c r="G129" s="11" t="s">
        <v>10</v>
      </c>
    </row>
    <row r="130" spans="1:7" ht="12.75">
      <c r="A130" s="31" t="s">
        <v>57</v>
      </c>
      <c r="B130" s="1">
        <v>178582</v>
      </c>
      <c r="C130" s="1">
        <v>488347</v>
      </c>
      <c r="D130" s="1">
        <v>4231</v>
      </c>
      <c r="E130" s="1"/>
      <c r="F130" s="1"/>
      <c r="G130" s="1">
        <f aca="true" t="shared" si="27" ref="G130:G136">SUM(B130:F130)</f>
        <v>671160</v>
      </c>
    </row>
    <row r="131" spans="1:7" ht="12.75">
      <c r="A131" s="31" t="s">
        <v>58</v>
      </c>
      <c r="B131" s="1"/>
      <c r="C131" s="1"/>
      <c r="D131" s="1"/>
      <c r="E131" s="1"/>
      <c r="F131" s="1"/>
      <c r="G131" s="1">
        <f t="shared" si="27"/>
        <v>0</v>
      </c>
    </row>
    <row r="132" spans="1:7" ht="12.75">
      <c r="A132" s="31" t="s">
        <v>59</v>
      </c>
      <c r="B132" s="1"/>
      <c r="C132" s="1"/>
      <c r="D132" s="1"/>
      <c r="E132" s="1"/>
      <c r="F132" s="1"/>
      <c r="G132" s="1">
        <f t="shared" si="27"/>
        <v>0</v>
      </c>
    </row>
    <row r="133" spans="1:7" ht="12.75">
      <c r="A133" t="s">
        <v>60</v>
      </c>
      <c r="B133" s="1"/>
      <c r="C133" s="1"/>
      <c r="D133" s="1"/>
      <c r="E133" s="1"/>
      <c r="F133" s="1"/>
      <c r="G133" s="1">
        <f t="shared" si="27"/>
        <v>0</v>
      </c>
    </row>
    <row r="134" spans="1:7" ht="12.75">
      <c r="A134" t="s">
        <v>61</v>
      </c>
      <c r="B134" s="1">
        <f>170655+6432434</f>
        <v>6603089</v>
      </c>
      <c r="C134" s="1">
        <v>17680</v>
      </c>
      <c r="D134" s="1"/>
      <c r="E134" s="1"/>
      <c r="F134" s="1"/>
      <c r="G134" s="1">
        <f t="shared" si="27"/>
        <v>6620769</v>
      </c>
    </row>
    <row r="135" spans="1:7" ht="12.75">
      <c r="A135" s="31" t="s">
        <v>62</v>
      </c>
      <c r="B135" s="1">
        <v>1625</v>
      </c>
      <c r="C135" s="1">
        <v>24632</v>
      </c>
      <c r="D135" s="1"/>
      <c r="E135" s="1"/>
      <c r="F135" s="1"/>
      <c r="G135" s="6">
        <f t="shared" si="27"/>
        <v>26257</v>
      </c>
    </row>
    <row r="136" spans="2:7" ht="13.5" thickBot="1">
      <c r="B136" s="15">
        <f>SUM(B130:B135)</f>
        <v>6783296</v>
      </c>
      <c r="C136" s="15">
        <f>SUM(C130:C135)</f>
        <v>530659</v>
      </c>
      <c r="D136" s="15">
        <f>SUM(D130:D135)</f>
        <v>4231</v>
      </c>
      <c r="E136" s="15">
        <f>SUM(E130:E135)</f>
        <v>0</v>
      </c>
      <c r="F136" s="15"/>
      <c r="G136" s="3">
        <f t="shared" si="27"/>
        <v>7318186</v>
      </c>
    </row>
    <row r="137" spans="2:7" ht="13.5" thickTop="1">
      <c r="B137" s="89"/>
      <c r="C137" s="1"/>
      <c r="D137" s="1"/>
      <c r="E137" s="1" t="s">
        <v>242</v>
      </c>
      <c r="F137" s="1"/>
      <c r="G137" s="1">
        <v>-150286</v>
      </c>
    </row>
    <row r="138" spans="2:7" ht="13.5" thickBot="1">
      <c r="B138" s="1"/>
      <c r="C138" s="1"/>
      <c r="D138" s="1"/>
      <c r="E138" s="1"/>
      <c r="F138" s="1"/>
      <c r="G138" s="15">
        <f>+G136+G137</f>
        <v>7167900</v>
      </c>
    </row>
    <row r="139" spans="2:3" ht="13.5" thickTop="1">
      <c r="B139" s="217"/>
      <c r="C139" s="217"/>
    </row>
    <row r="140" ht="12.75">
      <c r="E140" s="189"/>
    </row>
    <row r="142" ht="12.75">
      <c r="A142" s="34" t="s">
        <v>241</v>
      </c>
    </row>
    <row r="143" ht="12.75">
      <c r="A143" t="s">
        <v>382</v>
      </c>
    </row>
    <row r="145" spans="1:4" ht="12.75">
      <c r="A145" s="141"/>
      <c r="B145" s="190" t="s">
        <v>366</v>
      </c>
      <c r="C145" s="190" t="s">
        <v>366</v>
      </c>
      <c r="D145" s="191" t="s">
        <v>369</v>
      </c>
    </row>
    <row r="146" spans="1:4" ht="12.75">
      <c r="A146" s="193">
        <v>37346</v>
      </c>
      <c r="B146" s="191" t="s">
        <v>367</v>
      </c>
      <c r="C146" s="191" t="s">
        <v>368</v>
      </c>
      <c r="D146" s="191" t="s">
        <v>367</v>
      </c>
    </row>
    <row r="147" spans="2:4" ht="12.75">
      <c r="B147" s="30" t="s">
        <v>10</v>
      </c>
      <c r="C147" s="30" t="s">
        <v>10</v>
      </c>
      <c r="D147" s="30" t="s">
        <v>10</v>
      </c>
    </row>
    <row r="148" spans="1:4" ht="12.75">
      <c r="A148" s="31" t="s">
        <v>34</v>
      </c>
      <c r="B148" s="1">
        <v>354659</v>
      </c>
      <c r="C148" s="1">
        <v>187793</v>
      </c>
      <c r="D148" s="27">
        <f aca="true" t="shared" si="28" ref="D148:D153">B148-C148</f>
        <v>166866</v>
      </c>
    </row>
    <row r="149" spans="1:4" ht="12.75">
      <c r="A149" s="31" t="s">
        <v>3</v>
      </c>
      <c r="B149" s="1">
        <v>583646</v>
      </c>
      <c r="C149" s="1">
        <v>87893</v>
      </c>
      <c r="D149" s="27">
        <f t="shared" si="28"/>
        <v>495753</v>
      </c>
    </row>
    <row r="150" spans="1:4" ht="12.75">
      <c r="A150" s="31" t="s">
        <v>4</v>
      </c>
      <c r="B150" s="1">
        <v>0</v>
      </c>
      <c r="C150" s="40">
        <v>0</v>
      </c>
      <c r="D150" s="27">
        <f t="shared" si="28"/>
        <v>0</v>
      </c>
    </row>
    <row r="151" spans="1:4" ht="12.75">
      <c r="A151" s="31" t="s">
        <v>35</v>
      </c>
      <c r="B151" s="1">
        <v>62165</v>
      </c>
      <c r="C151" s="40">
        <v>0</v>
      </c>
      <c r="D151" s="27">
        <f t="shared" si="28"/>
        <v>62165</v>
      </c>
    </row>
    <row r="152" spans="1:4" ht="12.75">
      <c r="A152" s="31" t="s">
        <v>36</v>
      </c>
      <c r="B152" s="1">
        <v>48997</v>
      </c>
      <c r="C152" s="40">
        <v>0</v>
      </c>
      <c r="D152" s="27">
        <f t="shared" si="28"/>
        <v>48997</v>
      </c>
    </row>
    <row r="153" spans="1:4" ht="12.75">
      <c r="A153" s="31"/>
      <c r="B153" s="2">
        <f>SUM(B148:B152)</f>
        <v>1049467</v>
      </c>
      <c r="C153" s="87">
        <f>SUM(C148:C152)</f>
        <v>275686</v>
      </c>
      <c r="D153" s="87">
        <f t="shared" si="28"/>
        <v>773781</v>
      </c>
    </row>
    <row r="154" ht="12.75">
      <c r="A154" s="31" t="s">
        <v>63</v>
      </c>
    </row>
    <row r="155" spans="1:4" ht="12.75">
      <c r="A155" t="s">
        <v>312</v>
      </c>
      <c r="B155" s="40">
        <v>0</v>
      </c>
      <c r="C155" s="1">
        <v>0</v>
      </c>
      <c r="D155" s="194">
        <f>B155-C155</f>
        <v>0</v>
      </c>
    </row>
    <row r="156" spans="1:4" ht="12.75">
      <c r="A156" t="s">
        <v>313</v>
      </c>
      <c r="B156" s="27">
        <f>+G137</f>
        <v>-150286</v>
      </c>
      <c r="C156" s="1">
        <v>0</v>
      </c>
      <c r="D156" s="27">
        <f>B156-C156</f>
        <v>-150286</v>
      </c>
    </row>
    <row r="157" spans="2:4" ht="12.75">
      <c r="B157" s="87">
        <f>+B155+B156</f>
        <v>-150286</v>
      </c>
      <c r="C157" s="87">
        <f>SUM(C155:C156)</f>
        <v>0</v>
      </c>
      <c r="D157" s="87">
        <f>B157-C157</f>
        <v>-150286</v>
      </c>
    </row>
    <row r="158" spans="2:4" ht="13.5" thickBot="1">
      <c r="B158" s="15">
        <f>+B153+B157</f>
        <v>899181</v>
      </c>
      <c r="C158" s="15">
        <f>+C153+C157</f>
        <v>275686</v>
      </c>
      <c r="D158" s="192">
        <f>B158-C158</f>
        <v>623495</v>
      </c>
    </row>
    <row r="159" ht="13.5" thickTop="1"/>
    <row r="161" spans="1:2" ht="12.75">
      <c r="A161" s="141" t="s">
        <v>243</v>
      </c>
      <c r="B161" s="140">
        <v>37346</v>
      </c>
    </row>
    <row r="162" spans="1:2" ht="12.75">
      <c r="A162" t="s">
        <v>64</v>
      </c>
      <c r="B162" s="11" t="s">
        <v>10</v>
      </c>
    </row>
    <row r="163" spans="1:2" ht="12.75">
      <c r="A163" t="s">
        <v>65</v>
      </c>
      <c r="B163" s="86">
        <v>0</v>
      </c>
    </row>
    <row r="164" spans="1:2" ht="12.75">
      <c r="A164" t="s">
        <v>66</v>
      </c>
      <c r="B164" s="86">
        <v>0</v>
      </c>
    </row>
    <row r="165" spans="1:2" ht="12.75">
      <c r="A165" t="s">
        <v>67</v>
      </c>
      <c r="B165" s="86">
        <v>0</v>
      </c>
    </row>
    <row r="166" spans="1:2" ht="12.75">
      <c r="A166" t="s">
        <v>267</v>
      </c>
      <c r="B166" s="93">
        <v>0</v>
      </c>
    </row>
    <row r="167" ht="13.5" thickBot="1">
      <c r="B167" s="203">
        <f>SUM(B163:B166)</f>
        <v>0</v>
      </c>
    </row>
    <row r="168" ht="13.5" thickTop="1"/>
  </sheetData>
  <mergeCells count="2">
    <mergeCell ref="T1:W1"/>
    <mergeCell ref="B139:C139"/>
  </mergeCells>
  <printOptions horizontalCentered="1"/>
  <pageMargins left="0.5" right="0.5" top="0.74" bottom="0.75" header="0.5" footer="0.5"/>
  <pageSetup horizontalDpi="360" verticalDpi="36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workbookViewId="0" topLeftCell="A71">
      <selection activeCell="C67" sqref="C67"/>
    </sheetView>
  </sheetViews>
  <sheetFormatPr defaultColWidth="9.140625" defaultRowHeight="12.75"/>
  <cols>
    <col min="1" max="1" width="46.57421875" style="0" customWidth="1"/>
    <col min="2" max="2" width="15.00390625" style="0" customWidth="1"/>
    <col min="3" max="3" width="13.421875" style="0" customWidth="1"/>
    <col min="4" max="4" width="14.7109375" style="0" customWidth="1"/>
    <col min="5" max="6" width="11.28125" style="0" customWidth="1"/>
    <col min="7" max="7" width="12.8515625" style="0" bestFit="1" customWidth="1"/>
  </cols>
  <sheetData>
    <row r="1" ht="12.75">
      <c r="A1" t="s">
        <v>31</v>
      </c>
    </row>
    <row r="2" spans="1:2" ht="12.75">
      <c r="A2" t="s">
        <v>32</v>
      </c>
      <c r="B2" s="27"/>
    </row>
    <row r="3" ht="12.75">
      <c r="A3" t="s">
        <v>381</v>
      </c>
    </row>
    <row r="4" spans="2:7" ht="12.75">
      <c r="B4" s="11" t="s">
        <v>68</v>
      </c>
      <c r="C4" s="11" t="s">
        <v>69</v>
      </c>
      <c r="G4" s="11" t="s">
        <v>33</v>
      </c>
    </row>
    <row r="5" spans="1:7" ht="12.75">
      <c r="A5" s="13"/>
      <c r="B5" s="14" t="s">
        <v>70</v>
      </c>
      <c r="C5" s="14" t="s">
        <v>70</v>
      </c>
      <c r="D5" s="14" t="s">
        <v>6</v>
      </c>
      <c r="E5" s="14" t="s">
        <v>7</v>
      </c>
      <c r="F5" s="14" t="s">
        <v>8</v>
      </c>
      <c r="G5" s="14" t="s">
        <v>9</v>
      </c>
    </row>
    <row r="6" spans="2:7" ht="12.75">
      <c r="B6" s="11" t="s">
        <v>10</v>
      </c>
      <c r="C6" s="11" t="s">
        <v>10</v>
      </c>
      <c r="D6" s="11" t="s">
        <v>10</v>
      </c>
      <c r="E6" s="11" t="s">
        <v>10</v>
      </c>
      <c r="F6" s="11" t="s">
        <v>10</v>
      </c>
      <c r="G6" s="11" t="s">
        <v>10</v>
      </c>
    </row>
    <row r="7" spans="1:7" ht="12.75">
      <c r="A7" s="32" t="s">
        <v>146</v>
      </c>
      <c r="B7" s="11"/>
      <c r="C7" s="11"/>
      <c r="D7" s="11"/>
      <c r="E7" s="11"/>
      <c r="F7" s="11"/>
      <c r="G7" s="11"/>
    </row>
    <row r="8" spans="1:7" ht="12.75">
      <c r="A8" s="32" t="s">
        <v>147</v>
      </c>
      <c r="B8" s="3">
        <v>4482176</v>
      </c>
      <c r="C8" s="3">
        <v>0</v>
      </c>
      <c r="D8" s="3">
        <f>B8+C8</f>
        <v>4482176</v>
      </c>
      <c r="E8" s="3"/>
      <c r="F8" s="3"/>
      <c r="G8" s="3">
        <f>+D8+E8-F8</f>
        <v>4482176</v>
      </c>
    </row>
    <row r="9" spans="1:7" ht="12.75">
      <c r="A9" s="32" t="s">
        <v>148</v>
      </c>
      <c r="B9" s="10">
        <v>116031663</v>
      </c>
      <c r="C9" s="3">
        <v>0</v>
      </c>
      <c r="D9" s="3">
        <f aca="true" t="shared" si="0" ref="D9:D14">B9+C9</f>
        <v>116031663</v>
      </c>
      <c r="E9" s="3"/>
      <c r="F9" s="3"/>
      <c r="G9" s="3">
        <f aca="true" t="shared" si="1" ref="G9:G14">+D9+E9-F9</f>
        <v>116031663</v>
      </c>
    </row>
    <row r="10" spans="1:7" ht="12.75">
      <c r="A10" s="32" t="s">
        <v>149</v>
      </c>
      <c r="B10" s="3">
        <v>14223310</v>
      </c>
      <c r="C10" s="3">
        <v>0</v>
      </c>
      <c r="D10" s="3">
        <f t="shared" si="0"/>
        <v>14223310</v>
      </c>
      <c r="E10" s="3"/>
      <c r="F10" s="3"/>
      <c r="G10" s="3">
        <f t="shared" si="1"/>
        <v>14223310</v>
      </c>
    </row>
    <row r="11" spans="1:7" ht="12.75">
      <c r="A11" s="32" t="s">
        <v>158</v>
      </c>
      <c r="B11" s="3">
        <f>20607108+9139625+7920430+17460028</f>
        <v>55127191</v>
      </c>
      <c r="C11" s="3">
        <v>0</v>
      </c>
      <c r="D11" s="3">
        <f t="shared" si="0"/>
        <v>55127191</v>
      </c>
      <c r="E11" s="3"/>
      <c r="F11" s="3"/>
      <c r="G11" s="3">
        <f t="shared" si="1"/>
        <v>55127191</v>
      </c>
    </row>
    <row r="12" spans="1:7" ht="12.75">
      <c r="A12" s="32" t="s">
        <v>150</v>
      </c>
      <c r="B12" s="3">
        <v>0</v>
      </c>
      <c r="C12" s="3">
        <v>0</v>
      </c>
      <c r="D12" s="3">
        <f t="shared" si="0"/>
        <v>0</v>
      </c>
      <c r="E12" s="3"/>
      <c r="F12" s="3"/>
      <c r="G12" s="3">
        <f t="shared" si="1"/>
        <v>0</v>
      </c>
    </row>
    <row r="13" spans="1:7" ht="12.75">
      <c r="A13" s="32" t="s">
        <v>151</v>
      </c>
      <c r="B13" s="3">
        <v>0</v>
      </c>
      <c r="C13" s="3">
        <v>0</v>
      </c>
      <c r="D13" s="3">
        <f t="shared" si="0"/>
        <v>0</v>
      </c>
      <c r="E13" s="3"/>
      <c r="F13" s="3"/>
      <c r="G13" s="3">
        <f t="shared" si="1"/>
        <v>0</v>
      </c>
    </row>
    <row r="14" spans="1:7" ht="12.75">
      <c r="A14" s="32" t="s">
        <v>185</v>
      </c>
      <c r="B14" s="6">
        <v>0</v>
      </c>
      <c r="C14" s="6">
        <v>0</v>
      </c>
      <c r="D14" s="6">
        <f t="shared" si="0"/>
        <v>0</v>
      </c>
      <c r="E14" s="3"/>
      <c r="F14" s="3"/>
      <c r="G14" s="6">
        <f t="shared" si="1"/>
        <v>0</v>
      </c>
    </row>
    <row r="15" spans="1:7" ht="12.75">
      <c r="A15" s="32"/>
      <c r="B15" s="3">
        <f>SUM(B8:B14)</f>
        <v>189864340</v>
      </c>
      <c r="C15" s="3">
        <f>SUM(C8:C14)</f>
        <v>0</v>
      </c>
      <c r="D15" s="3">
        <f>SUM(D8:D14)</f>
        <v>189864340</v>
      </c>
      <c r="E15" s="3"/>
      <c r="F15" s="3"/>
      <c r="G15" s="3">
        <f>SUM(G8:G14)</f>
        <v>189864340</v>
      </c>
    </row>
    <row r="16" spans="1:7" ht="12.75">
      <c r="A16" s="32" t="s">
        <v>46</v>
      </c>
      <c r="B16" s="3"/>
      <c r="C16" s="3"/>
      <c r="D16" s="3"/>
      <c r="E16" s="3"/>
      <c r="F16" s="3"/>
      <c r="G16" s="3"/>
    </row>
    <row r="17" spans="1:7" ht="12.75">
      <c r="A17" s="63" t="s">
        <v>152</v>
      </c>
      <c r="B17" s="3">
        <v>373856</v>
      </c>
      <c r="C17" s="3">
        <v>0</v>
      </c>
      <c r="D17" s="3">
        <f aca="true" t="shared" si="2" ref="D17:D24">B17+C17</f>
        <v>373856</v>
      </c>
      <c r="E17" s="3"/>
      <c r="F17" s="3"/>
      <c r="G17" s="3">
        <f aca="true" t="shared" si="3" ref="G17:G24">+D17+E17-F17</f>
        <v>373856</v>
      </c>
    </row>
    <row r="18" spans="1:7" ht="12.75">
      <c r="A18" s="63" t="s">
        <v>12</v>
      </c>
      <c r="B18" s="3">
        <f>-11973070-2275475-147804</f>
        <v>-14396349</v>
      </c>
      <c r="C18" s="3">
        <f>710785-184962+13510235-1315771</f>
        <v>12720287</v>
      </c>
      <c r="D18" s="3">
        <f t="shared" si="2"/>
        <v>-1676062</v>
      </c>
      <c r="E18" s="3">
        <v>2423279</v>
      </c>
      <c r="F18" s="3"/>
      <c r="G18" s="3">
        <f t="shared" si="3"/>
        <v>747217</v>
      </c>
    </row>
    <row r="19" spans="1:7" ht="12.75">
      <c r="A19" s="32" t="s">
        <v>13</v>
      </c>
      <c r="B19" s="3">
        <f>34777048-9139625-7920430-17460028</f>
        <v>256965</v>
      </c>
      <c r="C19" s="3">
        <f>135204+31752+3117+40963+1800+41720+5800</f>
        <v>260356</v>
      </c>
      <c r="D19" s="3">
        <f t="shared" si="2"/>
        <v>517321</v>
      </c>
      <c r="E19" s="3"/>
      <c r="F19" s="3"/>
      <c r="G19" s="3">
        <f t="shared" si="3"/>
        <v>517321</v>
      </c>
    </row>
    <row r="20" spans="1:7" ht="12.75">
      <c r="A20" s="32" t="s">
        <v>171</v>
      </c>
      <c r="B20" s="3">
        <v>0</v>
      </c>
      <c r="C20" s="3">
        <v>0</v>
      </c>
      <c r="D20" s="3">
        <f t="shared" si="2"/>
        <v>0</v>
      </c>
      <c r="E20" s="3"/>
      <c r="F20" s="3"/>
      <c r="G20" s="3">
        <f t="shared" si="3"/>
        <v>0</v>
      </c>
    </row>
    <row r="21" spans="1:7" ht="12.75">
      <c r="A21" s="32" t="s">
        <v>165</v>
      </c>
      <c r="B21" s="3">
        <v>0</v>
      </c>
      <c r="C21" s="3">
        <v>0</v>
      </c>
      <c r="D21" s="3">
        <f t="shared" si="2"/>
        <v>0</v>
      </c>
      <c r="E21" s="3"/>
      <c r="F21" s="3"/>
      <c r="G21" s="3">
        <f t="shared" si="3"/>
        <v>0</v>
      </c>
    </row>
    <row r="22" spans="1:7" ht="12.75">
      <c r="A22" s="32" t="s">
        <v>166</v>
      </c>
      <c r="B22" s="3">
        <f>4190+25319+23849+172727+33184+150-171605</f>
        <v>87814</v>
      </c>
      <c r="C22" s="3">
        <v>0</v>
      </c>
      <c r="D22" s="3">
        <f t="shared" si="2"/>
        <v>87814</v>
      </c>
      <c r="E22" s="3"/>
      <c r="F22" s="3"/>
      <c r="G22" s="3">
        <f t="shared" si="3"/>
        <v>87814</v>
      </c>
    </row>
    <row r="23" spans="1:7" ht="12.75">
      <c r="A23" s="32" t="s">
        <v>167</v>
      </c>
      <c r="B23" s="3">
        <v>0</v>
      </c>
      <c r="C23" s="3">
        <v>0</v>
      </c>
      <c r="D23" s="3">
        <f t="shared" si="2"/>
        <v>0</v>
      </c>
      <c r="E23" s="3"/>
      <c r="F23" s="3"/>
      <c r="G23" s="3">
        <f t="shared" si="3"/>
        <v>0</v>
      </c>
    </row>
    <row r="24" spans="1:7" ht="12.75">
      <c r="A24" s="32" t="s">
        <v>159</v>
      </c>
      <c r="B24" s="3">
        <f>2602+1721+792+51+64+174</f>
        <v>5404</v>
      </c>
      <c r="C24" s="3">
        <f>920+117694+25574</f>
        <v>144188</v>
      </c>
      <c r="D24" s="3">
        <f t="shared" si="2"/>
        <v>149592</v>
      </c>
      <c r="E24" s="3"/>
      <c r="F24" s="3"/>
      <c r="G24" s="3">
        <f t="shared" si="3"/>
        <v>149592</v>
      </c>
    </row>
    <row r="25" spans="1:7" ht="12.75">
      <c r="A25" s="185"/>
      <c r="B25" s="2">
        <f>SUM(B17:B24)</f>
        <v>-13672310</v>
      </c>
      <c r="C25" s="2">
        <f>SUM(C17:C24)</f>
        <v>13124831</v>
      </c>
      <c r="D25" s="2">
        <f>SUM(D17:D24)</f>
        <v>-547479</v>
      </c>
      <c r="E25" s="3"/>
      <c r="F25" s="3"/>
      <c r="G25" s="2">
        <f>SUM(G17:G24)</f>
        <v>1875800</v>
      </c>
    </row>
    <row r="26" spans="1:7" ht="12.75">
      <c r="A26" s="32" t="s">
        <v>14</v>
      </c>
      <c r="B26" s="3"/>
      <c r="C26" s="3"/>
      <c r="D26" s="3"/>
      <c r="E26" s="3"/>
      <c r="F26" s="3"/>
      <c r="G26" s="3"/>
    </row>
    <row r="27" spans="1:7" ht="12.75">
      <c r="A27" s="32" t="s">
        <v>15</v>
      </c>
      <c r="B27" s="3">
        <f>594558+81832+261792</f>
        <v>938182</v>
      </c>
      <c r="C27" s="3">
        <v>0</v>
      </c>
      <c r="D27" s="3">
        <f aca="true" t="shared" si="4" ref="D27:D38">B27+C27</f>
        <v>938182</v>
      </c>
      <c r="E27" s="3"/>
      <c r="F27" s="3"/>
      <c r="G27" s="3">
        <f aca="true" t="shared" si="5" ref="G27:G38">+D27-E27+F27</f>
        <v>938182</v>
      </c>
    </row>
    <row r="28" spans="1:7" ht="12.75">
      <c r="A28" s="32" t="s">
        <v>49</v>
      </c>
      <c r="B28" s="3">
        <f>1719887+3698323+14539961+2333971-4249124-1271029-1891850-197328+4</f>
        <v>14682815</v>
      </c>
      <c r="C28" s="3">
        <v>9669788</v>
      </c>
      <c r="D28" s="3">
        <f t="shared" si="4"/>
        <v>24352603</v>
      </c>
      <c r="E28" s="3"/>
      <c r="F28" s="3"/>
      <c r="G28" s="3">
        <f t="shared" si="5"/>
        <v>24352603</v>
      </c>
    </row>
    <row r="29" spans="1:7" ht="12.75">
      <c r="A29" s="32" t="s">
        <v>160</v>
      </c>
      <c r="B29" s="3">
        <v>0</v>
      </c>
      <c r="C29" s="10">
        <v>0</v>
      </c>
      <c r="D29" s="3">
        <f t="shared" si="4"/>
        <v>0</v>
      </c>
      <c r="E29" s="3"/>
      <c r="F29" s="3"/>
      <c r="G29" s="3">
        <f t="shared" si="5"/>
        <v>0</v>
      </c>
    </row>
    <row r="30" spans="1:7" ht="12.75">
      <c r="A30" s="32" t="s">
        <v>172</v>
      </c>
      <c r="B30" s="3">
        <v>0</v>
      </c>
      <c r="C30" s="3">
        <v>0</v>
      </c>
      <c r="D30" s="3">
        <f t="shared" si="4"/>
        <v>0</v>
      </c>
      <c r="E30" s="3"/>
      <c r="F30" s="3"/>
      <c r="G30" s="3">
        <f t="shared" si="5"/>
        <v>0</v>
      </c>
    </row>
    <row r="31" spans="1:7" ht="12.75">
      <c r="A31" s="32" t="s">
        <v>173</v>
      </c>
      <c r="B31" s="3">
        <v>0</v>
      </c>
      <c r="C31" s="3">
        <v>0</v>
      </c>
      <c r="D31" s="3">
        <f t="shared" si="4"/>
        <v>0</v>
      </c>
      <c r="E31" s="3"/>
      <c r="F31" s="3"/>
      <c r="G31" s="3">
        <f t="shared" si="5"/>
        <v>0</v>
      </c>
    </row>
    <row r="32" spans="1:7" ht="12.75">
      <c r="A32" s="32" t="s">
        <v>161</v>
      </c>
      <c r="B32" s="3">
        <f>31811+1745316+18304551+630733+677070+4448077+1568471-1</f>
        <v>27406028</v>
      </c>
      <c r="C32" s="3">
        <v>0</v>
      </c>
      <c r="D32" s="3">
        <f t="shared" si="4"/>
        <v>27406028</v>
      </c>
      <c r="E32" s="3"/>
      <c r="F32" s="3"/>
      <c r="G32" s="3">
        <f t="shared" si="5"/>
        <v>27406028</v>
      </c>
    </row>
    <row r="33" spans="1:7" ht="12.75">
      <c r="A33" s="32" t="s">
        <v>168</v>
      </c>
      <c r="B33" s="3">
        <v>0</v>
      </c>
      <c r="C33" s="3">
        <v>0</v>
      </c>
      <c r="D33" s="3">
        <f t="shared" si="4"/>
        <v>0</v>
      </c>
      <c r="E33" s="3"/>
      <c r="F33" s="3"/>
      <c r="G33" s="3">
        <f t="shared" si="5"/>
        <v>0</v>
      </c>
    </row>
    <row r="34" spans="1:7" ht="12.75">
      <c r="A34" s="32" t="s">
        <v>169</v>
      </c>
      <c r="B34" s="10">
        <v>0</v>
      </c>
      <c r="C34" s="3">
        <v>0</v>
      </c>
      <c r="D34" s="3">
        <f t="shared" si="4"/>
        <v>0</v>
      </c>
      <c r="E34" s="3"/>
      <c r="F34" s="3"/>
      <c r="G34" s="3">
        <f t="shared" si="5"/>
        <v>0</v>
      </c>
    </row>
    <row r="35" spans="1:7" ht="12.75">
      <c r="A35" s="70" t="s">
        <v>16</v>
      </c>
      <c r="B35" s="3">
        <v>0</v>
      </c>
      <c r="C35" s="3">
        <v>0</v>
      </c>
      <c r="D35" s="3">
        <f t="shared" si="4"/>
        <v>0</v>
      </c>
      <c r="E35" s="3"/>
      <c r="F35" s="3"/>
      <c r="G35" s="3">
        <f t="shared" si="5"/>
        <v>0</v>
      </c>
    </row>
    <row r="36" spans="1:7" ht="12.75">
      <c r="A36" s="70" t="s">
        <v>153</v>
      </c>
      <c r="B36" s="3">
        <f>82328125+2040741+4249124+1271029+1891850+197328</f>
        <v>91978197</v>
      </c>
      <c r="C36" s="3">
        <v>0</v>
      </c>
      <c r="D36" s="3">
        <f t="shared" si="4"/>
        <v>91978197</v>
      </c>
      <c r="E36" s="3"/>
      <c r="F36" s="3"/>
      <c r="G36" s="3">
        <f t="shared" si="5"/>
        <v>91978197</v>
      </c>
    </row>
    <row r="37" spans="1:7" ht="12.75">
      <c r="A37" s="70" t="s">
        <v>51</v>
      </c>
      <c r="B37" s="10">
        <f>799004+637884+198427+199904+1000508</f>
        <v>2835727</v>
      </c>
      <c r="C37" s="10">
        <v>185080</v>
      </c>
      <c r="D37" s="3">
        <f t="shared" si="4"/>
        <v>3020807</v>
      </c>
      <c r="E37" s="3"/>
      <c r="F37" s="3"/>
      <c r="G37" s="3">
        <f t="shared" si="5"/>
        <v>3020807</v>
      </c>
    </row>
    <row r="38" spans="1:7" ht="12.75">
      <c r="A38" s="70" t="s">
        <v>17</v>
      </c>
      <c r="B38" s="3">
        <v>0</v>
      </c>
      <c r="C38" s="3">
        <v>0</v>
      </c>
      <c r="D38" s="3">
        <f t="shared" si="4"/>
        <v>0</v>
      </c>
      <c r="E38" s="3"/>
      <c r="F38" s="3"/>
      <c r="G38" s="3">
        <f t="shared" si="5"/>
        <v>0</v>
      </c>
    </row>
    <row r="39" spans="1:7" ht="12.75">
      <c r="A39" s="185"/>
      <c r="B39" s="2">
        <f>SUM(B27:B38)</f>
        <v>137840949</v>
      </c>
      <c r="C39" s="2">
        <f>SUM(C27:C38)</f>
        <v>9854868</v>
      </c>
      <c r="D39" s="2">
        <f>SUM(D27:D38)</f>
        <v>147695817</v>
      </c>
      <c r="E39" s="3"/>
      <c r="F39" s="3"/>
      <c r="G39" s="2">
        <f>SUM(G27:G38)</f>
        <v>147695817</v>
      </c>
    </row>
    <row r="40" spans="1:7" ht="12.75">
      <c r="A40" s="32" t="s">
        <v>170</v>
      </c>
      <c r="B40" s="3">
        <f>+B25-B39</f>
        <v>-151513259</v>
      </c>
      <c r="C40" s="3">
        <f>+C25-C39</f>
        <v>3269963</v>
      </c>
      <c r="D40" s="3">
        <f>+D25-D39</f>
        <v>-148243296</v>
      </c>
      <c r="E40" s="3"/>
      <c r="F40" s="3"/>
      <c r="G40" s="3">
        <f>+G25-G39</f>
        <v>-145820017</v>
      </c>
    </row>
    <row r="41" spans="1:7" ht="12.75">
      <c r="A41" s="185"/>
      <c r="B41" s="10"/>
      <c r="C41" s="3"/>
      <c r="D41" s="3"/>
      <c r="E41" s="3"/>
      <c r="F41" s="3"/>
      <c r="G41" s="3"/>
    </row>
    <row r="42" spans="1:7" ht="12.75">
      <c r="A42" s="32" t="s">
        <v>154</v>
      </c>
      <c r="B42" s="3"/>
      <c r="C42" s="3"/>
      <c r="D42" s="3"/>
      <c r="E42" s="3"/>
      <c r="F42" s="3"/>
      <c r="G42" s="3"/>
    </row>
    <row r="43" spans="1:7" ht="12.75">
      <c r="A43" s="32" t="s">
        <v>153</v>
      </c>
      <c r="B43" s="3">
        <v>0</v>
      </c>
      <c r="C43" s="3">
        <v>0</v>
      </c>
      <c r="D43" s="3">
        <f>B43+C43</f>
        <v>0</v>
      </c>
      <c r="E43" s="3"/>
      <c r="F43" s="3"/>
      <c r="G43" s="6">
        <f>+D43-E43+F43</f>
        <v>0</v>
      </c>
    </row>
    <row r="44" spans="1:7" ht="13.5" thickBot="1">
      <c r="A44" s="185"/>
      <c r="B44" s="15">
        <f>+B15+B40+B43</f>
        <v>38351081</v>
      </c>
      <c r="C44" s="15">
        <f>+C15+C40+C43</f>
        <v>3269963</v>
      </c>
      <c r="D44" s="15">
        <f>+D15+D40+D43</f>
        <v>41621044</v>
      </c>
      <c r="E44" s="3"/>
      <c r="F44" s="3"/>
      <c r="G44" s="15">
        <f>+G15+G40+G43</f>
        <v>44044323</v>
      </c>
    </row>
    <row r="45" spans="1:7" ht="13.5" thickTop="1">
      <c r="A45" s="32"/>
      <c r="B45" s="3"/>
      <c r="C45" s="3"/>
      <c r="D45" s="3"/>
      <c r="E45" s="3"/>
      <c r="F45" s="3"/>
      <c r="G45" s="3"/>
    </row>
    <row r="46" spans="1:7" ht="12.75">
      <c r="A46" s="32" t="s">
        <v>155</v>
      </c>
      <c r="B46" s="10"/>
      <c r="C46" s="3"/>
      <c r="D46" s="3"/>
      <c r="E46" s="3"/>
      <c r="F46" s="3"/>
      <c r="G46" s="3"/>
    </row>
    <row r="47" spans="1:7" ht="12.75">
      <c r="A47" s="32" t="s">
        <v>162</v>
      </c>
      <c r="B47" s="3"/>
      <c r="C47" s="3"/>
      <c r="D47" s="3"/>
      <c r="E47" s="3"/>
      <c r="F47" s="3"/>
      <c r="G47" s="3"/>
    </row>
    <row r="48" spans="1:7" ht="12.75">
      <c r="A48" s="32" t="s">
        <v>163</v>
      </c>
      <c r="B48" s="3">
        <v>112145732</v>
      </c>
      <c r="C48" s="3">
        <v>0</v>
      </c>
      <c r="D48" s="3">
        <f aca="true" t="shared" si="6" ref="D48:D55">B48+C48</f>
        <v>112145732</v>
      </c>
      <c r="E48" s="3"/>
      <c r="F48" s="3"/>
      <c r="G48" s="3">
        <f aca="true" t="shared" si="7" ref="G48:G53">+D48-E48+F48</f>
        <v>112145732</v>
      </c>
    </row>
    <row r="49" spans="1:7" ht="12.75">
      <c r="A49" s="32" t="s">
        <v>164</v>
      </c>
      <c r="B49" s="3">
        <v>249797108</v>
      </c>
      <c r="C49" s="3">
        <v>0</v>
      </c>
      <c r="D49" s="3">
        <f t="shared" si="6"/>
        <v>249797108</v>
      </c>
      <c r="E49" s="3"/>
      <c r="F49" s="3"/>
      <c r="G49" s="3">
        <f t="shared" si="7"/>
        <v>249797108</v>
      </c>
    </row>
    <row r="50" spans="1:7" ht="12.75">
      <c r="A50" s="32" t="s">
        <v>156</v>
      </c>
      <c r="B50" s="3">
        <v>352940</v>
      </c>
      <c r="C50" s="3">
        <v>0</v>
      </c>
      <c r="D50" s="3">
        <f t="shared" si="6"/>
        <v>352940</v>
      </c>
      <c r="E50" s="3"/>
      <c r="F50" s="3"/>
      <c r="G50" s="3">
        <f t="shared" si="7"/>
        <v>352940</v>
      </c>
    </row>
    <row r="51" spans="1:7" ht="12.75">
      <c r="A51" s="32" t="s">
        <v>157</v>
      </c>
      <c r="B51" s="3">
        <f>+B87</f>
        <v>-323944699</v>
      </c>
      <c r="C51" s="3">
        <f>+C87</f>
        <v>5693242</v>
      </c>
      <c r="D51" s="3">
        <f t="shared" si="6"/>
        <v>-318251457</v>
      </c>
      <c r="E51" s="3"/>
      <c r="F51" s="3"/>
      <c r="G51" s="3">
        <f t="shared" si="7"/>
        <v>-318251457</v>
      </c>
    </row>
    <row r="52" spans="1:7" ht="12.75">
      <c r="A52" s="32" t="s">
        <v>184</v>
      </c>
      <c r="B52" s="3">
        <v>0</v>
      </c>
      <c r="C52" s="3">
        <f>+C88</f>
        <v>0</v>
      </c>
      <c r="D52" s="3">
        <f t="shared" si="6"/>
        <v>0</v>
      </c>
      <c r="E52" s="3"/>
      <c r="F52" s="3"/>
      <c r="G52" s="3">
        <f t="shared" si="7"/>
        <v>0</v>
      </c>
    </row>
    <row r="53" spans="1:7" ht="12.75">
      <c r="A53" s="32" t="s">
        <v>202</v>
      </c>
      <c r="B53" s="3">
        <v>0</v>
      </c>
      <c r="C53" s="3">
        <v>-2423279</v>
      </c>
      <c r="D53" s="3">
        <f t="shared" si="6"/>
        <v>-2423279</v>
      </c>
      <c r="E53" s="3"/>
      <c r="F53" s="3">
        <v>2423279</v>
      </c>
      <c r="G53" s="3">
        <f t="shared" si="7"/>
        <v>0</v>
      </c>
    </row>
    <row r="54" spans="1:7" ht="12.75">
      <c r="A54" s="32"/>
      <c r="B54" s="83">
        <f>SUM(B48:B53)</f>
        <v>38351081</v>
      </c>
      <c r="C54" s="83">
        <f>SUM(C48:C53)</f>
        <v>3269963</v>
      </c>
      <c r="D54" s="83">
        <f>SUM(D48:D53)</f>
        <v>41621044</v>
      </c>
      <c r="E54" s="3"/>
      <c r="F54" s="3"/>
      <c r="G54" s="83">
        <f>SUM(G48:G53)</f>
        <v>44044323</v>
      </c>
    </row>
    <row r="55" spans="1:7" ht="12.75">
      <c r="A55" s="32" t="s">
        <v>11</v>
      </c>
      <c r="B55" s="6">
        <v>0</v>
      </c>
      <c r="C55" s="6">
        <v>0</v>
      </c>
      <c r="D55" s="6">
        <f t="shared" si="6"/>
        <v>0</v>
      </c>
      <c r="E55" s="3"/>
      <c r="F55" s="3"/>
      <c r="G55" s="6">
        <v>0</v>
      </c>
    </row>
    <row r="56" spans="1:7" ht="13.5" thickBot="1">
      <c r="A56" s="32"/>
      <c r="B56" s="5">
        <f>+B54+B55</f>
        <v>38351081</v>
      </c>
      <c r="C56" s="5">
        <f>+C54+C55</f>
        <v>3269963</v>
      </c>
      <c r="D56" s="5">
        <f>+D54+D55</f>
        <v>41621044</v>
      </c>
      <c r="E56" s="15">
        <f>SUM(E8:E55)</f>
        <v>2423279</v>
      </c>
      <c r="F56" s="15">
        <f>SUM(F8:F55)</f>
        <v>2423279</v>
      </c>
      <c r="G56" s="5">
        <f>+G54+G55</f>
        <v>44044323</v>
      </c>
    </row>
    <row r="57" spans="1:7" ht="13.5" thickTop="1">
      <c r="A57" s="202"/>
      <c r="B57" s="3">
        <f>+B44-B56</f>
        <v>0</v>
      </c>
      <c r="C57" s="3">
        <f>+C44-C56</f>
        <v>0</v>
      </c>
      <c r="D57" s="3">
        <f>+D44-D56</f>
        <v>0</v>
      </c>
      <c r="E57" s="3"/>
      <c r="F57" s="3"/>
      <c r="G57" s="3">
        <f>+G44-G56</f>
        <v>0</v>
      </c>
    </row>
    <row r="58" spans="1:2" ht="12.75">
      <c r="A58" t="s">
        <v>31</v>
      </c>
      <c r="B58" s="27"/>
    </row>
    <row r="59" ht="12.75">
      <c r="A59" t="s">
        <v>52</v>
      </c>
    </row>
    <row r="60" spans="1:3" ht="12.75">
      <c r="A60" s="12" t="s">
        <v>380</v>
      </c>
      <c r="B60" s="12"/>
      <c r="C60" s="12"/>
    </row>
    <row r="61" spans="1:7" ht="12.75">
      <c r="A61" s="12"/>
      <c r="B61" s="25" t="s">
        <v>71</v>
      </c>
      <c r="C61" s="25" t="s">
        <v>69</v>
      </c>
      <c r="D61" s="25"/>
      <c r="G61" s="11"/>
    </row>
    <row r="62" spans="1:7" ht="12.75">
      <c r="A62" s="13"/>
      <c r="B62" s="14" t="s">
        <v>70</v>
      </c>
      <c r="C62" s="14" t="s">
        <v>70</v>
      </c>
      <c r="D62" s="14" t="s">
        <v>6</v>
      </c>
      <c r="E62" s="25"/>
      <c r="F62" s="25"/>
      <c r="G62" s="25"/>
    </row>
    <row r="63" spans="1:7" ht="12.75">
      <c r="A63" s="12"/>
      <c r="B63" s="11" t="s">
        <v>10</v>
      </c>
      <c r="C63" s="11" t="s">
        <v>10</v>
      </c>
      <c r="D63" s="11" t="s">
        <v>10</v>
      </c>
      <c r="E63" s="11"/>
      <c r="F63" s="11"/>
      <c r="G63" s="11"/>
    </row>
    <row r="64" spans="2:7" ht="12.75">
      <c r="B64" s="11"/>
      <c r="C64" s="11"/>
      <c r="G64" s="3"/>
    </row>
    <row r="65" spans="1:7" ht="13.5" thickBot="1">
      <c r="A65" t="s">
        <v>21</v>
      </c>
      <c r="B65" s="5">
        <v>0</v>
      </c>
      <c r="C65" s="80">
        <v>8817069</v>
      </c>
      <c r="D65" s="5">
        <f>B65+C65</f>
        <v>8817069</v>
      </c>
      <c r="G65" s="12"/>
    </row>
    <row r="66" spans="2:7" ht="13.5" thickTop="1">
      <c r="B66" s="1"/>
      <c r="C66" s="1"/>
      <c r="D66" s="3"/>
      <c r="G66" s="12"/>
    </row>
    <row r="67" spans="1:7" ht="12.75">
      <c r="A67" t="s">
        <v>53</v>
      </c>
      <c r="B67" s="1">
        <v>-9864700</v>
      </c>
      <c r="C67" s="1">
        <v>5693242</v>
      </c>
      <c r="D67" s="3">
        <f>B67+C67</f>
        <v>-4171458</v>
      </c>
      <c r="G67" s="3"/>
    </row>
    <row r="68" spans="2:7" ht="12.75">
      <c r="B68" s="1"/>
      <c r="C68" s="1"/>
      <c r="D68" s="3"/>
      <c r="G68" s="12"/>
    </row>
    <row r="69" spans="1:7" ht="12.75">
      <c r="A69" t="s">
        <v>23</v>
      </c>
      <c r="B69" s="6">
        <v>0</v>
      </c>
      <c r="C69" s="6"/>
      <c r="D69" s="6">
        <v>0</v>
      </c>
      <c r="G69" s="12"/>
    </row>
    <row r="70" spans="2:7" ht="12.75">
      <c r="B70" s="1"/>
      <c r="C70" s="1"/>
      <c r="D70" s="3"/>
      <c r="G70" s="12"/>
    </row>
    <row r="71" spans="1:7" ht="12.75">
      <c r="A71" t="s">
        <v>24</v>
      </c>
      <c r="B71" s="3">
        <f>+B67+B69</f>
        <v>-9864700</v>
      </c>
      <c r="C71" s="3">
        <f>+C67+C69</f>
        <v>5693242</v>
      </c>
      <c r="D71" s="3">
        <f>B71+C71</f>
        <v>-4171458</v>
      </c>
      <c r="G71" s="12"/>
    </row>
    <row r="72" spans="2:7" ht="12.75">
      <c r="B72" s="1"/>
      <c r="C72" s="1"/>
      <c r="D72" s="3"/>
      <c r="G72" s="12"/>
    </row>
    <row r="73" spans="1:7" ht="12.75">
      <c r="A73" t="s">
        <v>11</v>
      </c>
      <c r="B73" s="1">
        <v>0</v>
      </c>
      <c r="C73" s="1">
        <v>0</v>
      </c>
      <c r="D73" s="3">
        <f>+B73+C73</f>
        <v>0</v>
      </c>
      <c r="G73" s="12"/>
    </row>
    <row r="74" spans="2:7" ht="12.75">
      <c r="B74" s="6"/>
      <c r="C74" s="6"/>
      <c r="D74" s="6"/>
      <c r="G74" s="12"/>
    </row>
    <row r="75" spans="1:7" ht="12.75">
      <c r="A75" t="s">
        <v>25</v>
      </c>
      <c r="B75" s="3">
        <f>+B71+B73</f>
        <v>-9864700</v>
      </c>
      <c r="C75" s="3">
        <f>+C71+C73</f>
        <v>5693242</v>
      </c>
      <c r="D75" s="3">
        <f>+D71+D73</f>
        <v>-4171458</v>
      </c>
      <c r="E75" s="3"/>
      <c r="G75" s="12"/>
    </row>
    <row r="76" spans="2:7" ht="12.75">
      <c r="B76" s="1"/>
      <c r="C76" s="1"/>
      <c r="D76" s="3"/>
      <c r="G76" s="12"/>
    </row>
    <row r="77" spans="1:7" ht="12.75">
      <c r="A77" t="s">
        <v>26</v>
      </c>
      <c r="B77" s="6">
        <v>0</v>
      </c>
      <c r="C77" s="6">
        <v>0</v>
      </c>
      <c r="D77" s="6">
        <f>+B77+C77</f>
        <v>0</v>
      </c>
      <c r="G77" s="12"/>
    </row>
    <row r="78" spans="2:7" ht="12.75">
      <c r="B78" s="1"/>
      <c r="C78" s="1"/>
      <c r="D78" s="3"/>
      <c r="G78" s="12"/>
    </row>
    <row r="79" spans="1:7" ht="12.75">
      <c r="A79" t="s">
        <v>27</v>
      </c>
      <c r="B79" s="3">
        <f>+B75+B77</f>
        <v>-9864700</v>
      </c>
      <c r="C79" s="3">
        <f>+C75+C77</f>
        <v>5693242</v>
      </c>
      <c r="D79" s="3">
        <f>+D75+D77</f>
        <v>-4171458</v>
      </c>
      <c r="G79" s="12"/>
    </row>
    <row r="80" spans="2:7" ht="12.75">
      <c r="B80" s="1"/>
      <c r="C80" s="1"/>
      <c r="D80" s="3"/>
      <c r="G80" s="12"/>
    </row>
    <row r="81" spans="1:7" ht="12.75">
      <c r="A81" t="s">
        <v>54</v>
      </c>
      <c r="B81" s="6">
        <f>-314079996-3</f>
        <v>-314079999</v>
      </c>
      <c r="C81" s="6">
        <v>0</v>
      </c>
      <c r="D81" s="6">
        <f>B81+C81</f>
        <v>-314079999</v>
      </c>
      <c r="G81" s="3"/>
    </row>
    <row r="82" spans="2:7" ht="12.75">
      <c r="B82" s="1"/>
      <c r="C82" s="1"/>
      <c r="D82" s="3"/>
      <c r="G82" s="12"/>
    </row>
    <row r="83" spans="1:7" ht="12.75">
      <c r="A83" t="s">
        <v>28</v>
      </c>
      <c r="B83" s="3">
        <f>+B79+B81</f>
        <v>-323944699</v>
      </c>
      <c r="C83" s="3">
        <f>+C79+C81</f>
        <v>5693242</v>
      </c>
      <c r="D83" s="3">
        <f>+D79+D81</f>
        <v>-318251457</v>
      </c>
      <c r="G83" s="12"/>
    </row>
    <row r="84" spans="2:7" ht="12.75">
      <c r="B84" s="1"/>
      <c r="C84" s="1"/>
      <c r="D84" s="3"/>
      <c r="G84" s="12"/>
    </row>
    <row r="85" spans="1:7" ht="12.75">
      <c r="A85" t="s">
        <v>29</v>
      </c>
      <c r="B85" s="1">
        <v>0</v>
      </c>
      <c r="C85" s="1">
        <v>0</v>
      </c>
      <c r="D85" s="3">
        <f>+B85+C85</f>
        <v>0</v>
      </c>
      <c r="G85" s="12"/>
    </row>
    <row r="86" spans="2:7" ht="12.75">
      <c r="B86" s="1"/>
      <c r="C86" s="1"/>
      <c r="D86" s="1"/>
      <c r="G86" s="12"/>
    </row>
    <row r="87" spans="1:7" ht="13.5" thickBot="1">
      <c r="A87" t="s">
        <v>30</v>
      </c>
      <c r="B87" s="15">
        <f>+B83+B85</f>
        <v>-323944699</v>
      </c>
      <c r="C87" s="15">
        <f>+C83+C85</f>
        <v>5693242</v>
      </c>
      <c r="D87" s="15">
        <f>+D83+D85</f>
        <v>-318251457</v>
      </c>
      <c r="G87" s="12"/>
    </row>
    <row r="88" ht="13.5" thickTop="1"/>
  </sheetData>
  <printOptions horizontalCentered="1"/>
  <pageMargins left="0" right="0" top="0.25" bottom="0.25" header="0.5" footer="0.5"/>
  <pageSetup fitToHeight="1" fitToWidth="1" horizontalDpi="360" verticalDpi="360" orientation="landscape" paperSize="9" r:id="rId1"/>
  <headerFooter alignWithMargins="0">
    <oddHeader>&amp;R&amp;F&lt;&amp;D&gt;&lt;&amp;T&gt;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45"/>
  <sheetViews>
    <sheetView workbookViewId="0" topLeftCell="A1">
      <selection activeCell="A1" sqref="A1:H75"/>
    </sheetView>
  </sheetViews>
  <sheetFormatPr defaultColWidth="9.140625" defaultRowHeight="12.75"/>
  <cols>
    <col min="1" max="1" width="4.7109375" style="0" customWidth="1"/>
    <col min="2" max="2" width="3.140625" style="11" customWidth="1"/>
    <col min="3" max="3" width="3.421875" style="11" customWidth="1"/>
    <col min="4" max="4" width="43.57421875" style="0" customWidth="1"/>
    <col min="5" max="5" width="12.57421875" style="0" customWidth="1"/>
    <col min="6" max="6" width="17.57421875" style="0" bestFit="1" customWidth="1"/>
    <col min="7" max="7" width="12.7109375" style="0" customWidth="1"/>
    <col min="8" max="8" width="17.57421875" style="0" bestFit="1" customWidth="1"/>
    <col min="9" max="9" width="9.421875" style="0" hidden="1" customWidth="1"/>
    <col min="10" max="10" width="10.8515625" style="0" hidden="1" customWidth="1"/>
    <col min="11" max="11" width="9.8515625" style="0" customWidth="1"/>
  </cols>
  <sheetData>
    <row r="1" spans="1:10" ht="12.75">
      <c r="A1" s="60" t="s">
        <v>72</v>
      </c>
      <c r="E1" s="30"/>
      <c r="J1">
        <v>0.001</v>
      </c>
    </row>
    <row r="2" ht="12.75">
      <c r="A2" t="s">
        <v>411</v>
      </c>
    </row>
    <row r="4" ht="12.75">
      <c r="A4" t="s">
        <v>73</v>
      </c>
    </row>
    <row r="6" spans="1:4" ht="12.75">
      <c r="A6" t="s">
        <v>74</v>
      </c>
      <c r="D6" s="39"/>
    </row>
    <row r="7" spans="1:10" ht="12.75">
      <c r="A7" s="95"/>
      <c r="B7" s="96"/>
      <c r="C7" s="96"/>
      <c r="D7" s="117"/>
      <c r="E7" s="116" t="s">
        <v>295</v>
      </c>
      <c r="F7" s="115"/>
      <c r="G7" s="97" t="s">
        <v>269</v>
      </c>
      <c r="H7" s="98"/>
      <c r="J7" s="106"/>
    </row>
    <row r="8" spans="1:10" ht="12.75">
      <c r="A8" s="99"/>
      <c r="B8" s="25"/>
      <c r="C8" s="25"/>
      <c r="D8" s="101"/>
      <c r="E8" s="96" t="s">
        <v>75</v>
      </c>
      <c r="F8" s="106" t="s">
        <v>294</v>
      </c>
      <c r="G8" s="96" t="s">
        <v>75</v>
      </c>
      <c r="H8" s="106" t="s">
        <v>294</v>
      </c>
      <c r="J8" s="107"/>
    </row>
    <row r="9" spans="1:10" ht="12.75">
      <c r="A9" s="99"/>
      <c r="B9" s="25"/>
      <c r="C9" s="25"/>
      <c r="D9" s="101"/>
      <c r="E9" s="25" t="s">
        <v>76</v>
      </c>
      <c r="F9" s="107" t="s">
        <v>76</v>
      </c>
      <c r="G9" s="25" t="s">
        <v>76</v>
      </c>
      <c r="H9" s="107" t="s">
        <v>76</v>
      </c>
      <c r="J9" s="107"/>
    </row>
    <row r="10" spans="1:10" ht="12.75">
      <c r="A10" s="99"/>
      <c r="B10" s="25"/>
      <c r="C10" s="25"/>
      <c r="D10" s="101"/>
      <c r="E10" s="12"/>
      <c r="F10" s="107" t="s">
        <v>77</v>
      </c>
      <c r="G10" s="25"/>
      <c r="H10" s="107" t="s">
        <v>77</v>
      </c>
      <c r="J10" s="107" t="s">
        <v>255</v>
      </c>
    </row>
    <row r="11" spans="1:11" ht="12.75">
      <c r="A11" s="99"/>
      <c r="B11" s="25"/>
      <c r="C11" s="25"/>
      <c r="D11" s="101"/>
      <c r="E11" s="25" t="s">
        <v>78</v>
      </c>
      <c r="F11" s="107" t="s">
        <v>78</v>
      </c>
      <c r="G11" s="25" t="s">
        <v>79</v>
      </c>
      <c r="H11" s="107" t="s">
        <v>80</v>
      </c>
      <c r="J11" s="107" t="s">
        <v>261</v>
      </c>
      <c r="K11" s="11"/>
    </row>
    <row r="12" spans="1:11" ht="12.75">
      <c r="A12" s="99"/>
      <c r="B12" s="25"/>
      <c r="C12" s="25"/>
      <c r="D12" s="101"/>
      <c r="E12" s="100" t="s">
        <v>388</v>
      </c>
      <c r="F12" s="108" t="s">
        <v>391</v>
      </c>
      <c r="G12" s="100" t="s">
        <v>388</v>
      </c>
      <c r="H12" s="108" t="s">
        <v>391</v>
      </c>
      <c r="J12" s="195">
        <v>37256</v>
      </c>
      <c r="K12" s="68"/>
    </row>
    <row r="13" spans="1:11" ht="12.75">
      <c r="A13" s="104"/>
      <c r="B13" s="14"/>
      <c r="C13" s="14"/>
      <c r="D13" s="105"/>
      <c r="E13" s="14" t="s">
        <v>81</v>
      </c>
      <c r="F13" s="109" t="s">
        <v>81</v>
      </c>
      <c r="G13" s="14" t="s">
        <v>81</v>
      </c>
      <c r="H13" s="109" t="s">
        <v>81</v>
      </c>
      <c r="J13" s="107" t="s">
        <v>81</v>
      </c>
      <c r="K13" s="11"/>
    </row>
    <row r="14" spans="1:10" ht="12.75">
      <c r="A14" s="95"/>
      <c r="B14" s="96"/>
      <c r="C14" s="96"/>
      <c r="D14" s="118"/>
      <c r="E14" s="97"/>
      <c r="F14" s="106"/>
      <c r="G14" s="97"/>
      <c r="H14" s="118"/>
      <c r="J14" s="118"/>
    </row>
    <row r="15" spans="1:10" ht="12.75">
      <c r="A15" s="119">
        <v>1</v>
      </c>
      <c r="B15" s="14" t="s">
        <v>82</v>
      </c>
      <c r="C15" s="14"/>
      <c r="D15" s="113" t="s">
        <v>270</v>
      </c>
      <c r="E15" s="81">
        <f>G15-J15</f>
        <v>2964.2289999999994</v>
      </c>
      <c r="F15" s="120">
        <v>2735</v>
      </c>
      <c r="G15" s="6">
        <f>'seal-mfg'!$Q$67*J1</f>
        <v>8824.229</v>
      </c>
      <c r="H15" s="120">
        <v>8359</v>
      </c>
      <c r="J15" s="121">
        <v>5860</v>
      </c>
    </row>
    <row r="16" spans="1:10" ht="12.75">
      <c r="A16" s="99"/>
      <c r="B16" s="25"/>
      <c r="C16" s="25"/>
      <c r="D16" s="110"/>
      <c r="E16" s="3"/>
      <c r="F16" s="111"/>
      <c r="G16" s="3"/>
      <c r="H16" s="111"/>
      <c r="J16" s="110"/>
    </row>
    <row r="17" spans="1:10" ht="12.75">
      <c r="A17" s="119"/>
      <c r="B17" s="14" t="s">
        <v>84</v>
      </c>
      <c r="C17" s="14"/>
      <c r="D17" s="113" t="s">
        <v>85</v>
      </c>
      <c r="E17" s="81">
        <f>G17</f>
        <v>0</v>
      </c>
      <c r="F17" s="121">
        <v>0</v>
      </c>
      <c r="G17" s="6">
        <v>0</v>
      </c>
      <c r="H17" s="121">
        <v>0</v>
      </c>
      <c r="I17" s="11"/>
      <c r="J17" s="132">
        <v>0</v>
      </c>
    </row>
    <row r="18" spans="1:10" ht="12.75">
      <c r="A18" s="99"/>
      <c r="B18" s="25"/>
      <c r="C18" s="25"/>
      <c r="D18" s="110"/>
      <c r="E18" s="3"/>
      <c r="F18" s="111"/>
      <c r="G18" s="3"/>
      <c r="H18" s="111"/>
      <c r="J18" s="118"/>
    </row>
    <row r="19" spans="1:10" ht="12.75">
      <c r="A19" s="122"/>
      <c r="B19" s="14" t="s">
        <v>86</v>
      </c>
      <c r="C19" s="14"/>
      <c r="D19" s="113" t="s">
        <v>271</v>
      </c>
      <c r="E19" s="81">
        <f>G19-J19</f>
        <v>187.495</v>
      </c>
      <c r="F19" s="121">
        <v>8</v>
      </c>
      <c r="G19" s="79">
        <f>'seal-mfg'!$D$158*J1</f>
        <v>623.495</v>
      </c>
      <c r="H19" s="121">
        <v>164</v>
      </c>
      <c r="J19" s="121">
        <v>436</v>
      </c>
    </row>
    <row r="20" spans="1:10" ht="12.75">
      <c r="A20" s="99"/>
      <c r="B20" s="25"/>
      <c r="C20" s="25"/>
      <c r="D20" s="110"/>
      <c r="E20" s="3"/>
      <c r="F20" s="111"/>
      <c r="G20" s="3"/>
      <c r="H20" s="111"/>
      <c r="J20" s="110"/>
    </row>
    <row r="21" spans="1:28" ht="12.75">
      <c r="A21" s="102">
        <v>2</v>
      </c>
      <c r="B21" s="25" t="s">
        <v>82</v>
      </c>
      <c r="C21" s="25"/>
      <c r="D21" s="110" t="s">
        <v>272</v>
      </c>
      <c r="E21" s="3">
        <f>+E31-E27-E25+1</f>
        <v>1216.326000000001</v>
      </c>
      <c r="F21" s="111">
        <v>520</v>
      </c>
      <c r="G21" s="3">
        <f>G31-G27-G25+1</f>
        <v>3813.326000000001</v>
      </c>
      <c r="H21" s="111">
        <v>801</v>
      </c>
      <c r="I21" s="1"/>
      <c r="J21" s="111">
        <v>2597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10" ht="12.75">
      <c r="A22" s="102"/>
      <c r="B22" s="25"/>
      <c r="C22" s="25"/>
      <c r="D22" s="110" t="s">
        <v>273</v>
      </c>
      <c r="E22" s="3"/>
      <c r="F22" s="111"/>
      <c r="G22" s="3"/>
      <c r="H22" s="111"/>
      <c r="J22" s="110"/>
    </row>
    <row r="23" spans="1:10" ht="12.75">
      <c r="A23" s="104"/>
      <c r="B23" s="14"/>
      <c r="C23" s="14"/>
      <c r="D23" s="113" t="s">
        <v>274</v>
      </c>
      <c r="E23" s="6"/>
      <c r="F23" s="121"/>
      <c r="G23" s="6"/>
      <c r="H23" s="121"/>
      <c r="J23" s="110"/>
    </row>
    <row r="24" spans="1:10" ht="12.75">
      <c r="A24" s="99"/>
      <c r="B24" s="25"/>
      <c r="C24" s="25"/>
      <c r="D24" s="110"/>
      <c r="E24" s="3"/>
      <c r="F24" s="111"/>
      <c r="G24" s="3"/>
      <c r="H24" s="111"/>
      <c r="J24" s="118"/>
    </row>
    <row r="25" spans="1:10" ht="12.75">
      <c r="A25" s="104"/>
      <c r="B25" s="14" t="s">
        <v>84</v>
      </c>
      <c r="C25" s="14"/>
      <c r="D25" s="113" t="s">
        <v>275</v>
      </c>
      <c r="E25" s="206">
        <f>G25-J25</f>
        <v>-2334.9000000000005</v>
      </c>
      <c r="F25" s="207">
        <v>-2415</v>
      </c>
      <c r="G25" s="208">
        <f>-'seal-mfg'!$G$138*J1</f>
        <v>-7167.900000000001</v>
      </c>
      <c r="H25" s="207">
        <v>-7331</v>
      </c>
      <c r="J25" s="198">
        <v>-4833</v>
      </c>
    </row>
    <row r="26" spans="1:10" ht="12.75">
      <c r="A26" s="99"/>
      <c r="B26" s="25"/>
      <c r="C26" s="25"/>
      <c r="D26" s="110"/>
      <c r="E26" s="3"/>
      <c r="F26" s="111"/>
      <c r="G26" s="3"/>
      <c r="H26" s="111"/>
      <c r="J26" s="110"/>
    </row>
    <row r="27" spans="1:10" ht="12.75">
      <c r="A27" s="104"/>
      <c r="B27" s="123" t="s">
        <v>86</v>
      </c>
      <c r="C27" s="14"/>
      <c r="D27" s="113" t="s">
        <v>87</v>
      </c>
      <c r="E27" s="206">
        <f>G27-J27</f>
        <v>-438.8620000000001</v>
      </c>
      <c r="F27" s="207">
        <v>-784</v>
      </c>
      <c r="G27" s="208">
        <f>-'seal-mfg'!$G$123*J1</f>
        <v>-1626.862</v>
      </c>
      <c r="H27" s="207">
        <v>-2631</v>
      </c>
      <c r="J27" s="111">
        <v>-1188</v>
      </c>
    </row>
    <row r="28" spans="1:10" ht="12.75">
      <c r="A28" s="99"/>
      <c r="B28" s="25"/>
      <c r="C28" s="25"/>
      <c r="D28" s="110"/>
      <c r="E28" s="3"/>
      <c r="F28" s="111"/>
      <c r="G28" s="3"/>
      <c r="H28" s="111"/>
      <c r="J28" s="118"/>
    </row>
    <row r="29" spans="1:10" ht="12.75">
      <c r="A29" s="104"/>
      <c r="B29" s="14" t="s">
        <v>88</v>
      </c>
      <c r="C29" s="14"/>
      <c r="D29" s="113" t="s">
        <v>89</v>
      </c>
      <c r="E29" s="6">
        <f>G29</f>
        <v>0</v>
      </c>
      <c r="F29" s="121">
        <v>0</v>
      </c>
      <c r="G29" s="6">
        <v>0</v>
      </c>
      <c r="H29" s="121">
        <v>0</v>
      </c>
      <c r="J29" s="199">
        <v>0</v>
      </c>
    </row>
    <row r="30" spans="1:10" ht="12.75">
      <c r="A30" s="99"/>
      <c r="B30" s="25"/>
      <c r="C30" s="25"/>
      <c r="D30" s="110"/>
      <c r="E30" s="3"/>
      <c r="F30" s="111"/>
      <c r="G30" s="3"/>
      <c r="H30" s="111"/>
      <c r="J30" s="110"/>
    </row>
    <row r="31" spans="1:10" ht="12.75">
      <c r="A31" s="99"/>
      <c r="B31" s="25" t="s">
        <v>90</v>
      </c>
      <c r="C31" s="25"/>
      <c r="D31" s="110" t="s">
        <v>276</v>
      </c>
      <c r="E31" s="209">
        <f>G31-J31</f>
        <v>-1558.4359999999997</v>
      </c>
      <c r="F31" s="210">
        <v>-2679</v>
      </c>
      <c r="G31" s="211">
        <f>G34+G36</f>
        <v>-4982.436</v>
      </c>
      <c r="H31" s="210">
        <v>-9161</v>
      </c>
      <c r="J31" s="111">
        <v>-3424</v>
      </c>
    </row>
    <row r="32" spans="1:10" ht="12.75">
      <c r="A32" s="104"/>
      <c r="B32" s="14"/>
      <c r="C32" s="14"/>
      <c r="D32" s="113" t="s">
        <v>91</v>
      </c>
      <c r="E32" s="6"/>
      <c r="F32" s="121"/>
      <c r="G32" s="6"/>
      <c r="H32" s="121"/>
      <c r="J32" s="110"/>
    </row>
    <row r="33" spans="1:10" ht="12.75">
      <c r="A33" s="99"/>
      <c r="B33" s="25"/>
      <c r="C33" s="25"/>
      <c r="D33" s="110"/>
      <c r="E33" s="3"/>
      <c r="F33" s="111"/>
      <c r="G33" s="3"/>
      <c r="H33" s="111"/>
      <c r="J33" s="118"/>
    </row>
    <row r="34" spans="1:10" ht="12.75">
      <c r="A34" s="104"/>
      <c r="B34" s="14" t="s">
        <v>92</v>
      </c>
      <c r="C34" s="14"/>
      <c r="D34" s="113" t="s">
        <v>277</v>
      </c>
      <c r="E34" s="6">
        <v>0</v>
      </c>
      <c r="F34" s="121">
        <v>0</v>
      </c>
      <c r="G34" s="6">
        <v>0</v>
      </c>
      <c r="H34" s="121">
        <v>0</v>
      </c>
      <c r="J34" s="199">
        <v>0</v>
      </c>
    </row>
    <row r="35" spans="1:10" ht="12.75">
      <c r="A35" s="99"/>
      <c r="B35" s="25"/>
      <c r="C35" s="25"/>
      <c r="D35" s="110"/>
      <c r="E35" s="3"/>
      <c r="F35" s="111"/>
      <c r="G35" s="3"/>
      <c r="H35" s="111"/>
      <c r="J35" s="110"/>
    </row>
    <row r="36" spans="1:10" ht="12.75">
      <c r="A36" s="99"/>
      <c r="B36" s="25" t="s">
        <v>93</v>
      </c>
      <c r="C36" s="25"/>
      <c r="D36" s="110" t="s">
        <v>276</v>
      </c>
      <c r="E36" s="209">
        <f>G36-J36</f>
        <v>-1558.4359999999997</v>
      </c>
      <c r="F36" s="212">
        <v>-2679</v>
      </c>
      <c r="G36" s="210">
        <f>'seal-mfg'!$Q$69*J1</f>
        <v>-4982.436</v>
      </c>
      <c r="H36" s="213">
        <v>-9161</v>
      </c>
      <c r="J36" s="111">
        <v>-3424</v>
      </c>
    </row>
    <row r="37" spans="1:10" ht="12.75">
      <c r="A37" s="99"/>
      <c r="B37" s="25"/>
      <c r="C37" s="25"/>
      <c r="D37" s="110" t="s">
        <v>278</v>
      </c>
      <c r="E37" s="3"/>
      <c r="F37" s="111"/>
      <c r="G37" s="12"/>
      <c r="H37" s="111"/>
      <c r="J37" s="110"/>
    </row>
    <row r="38" spans="1:10" ht="12.75">
      <c r="A38" s="104"/>
      <c r="B38" s="14"/>
      <c r="C38" s="14"/>
      <c r="D38" s="113" t="s">
        <v>279</v>
      </c>
      <c r="E38" s="6"/>
      <c r="F38" s="121"/>
      <c r="G38" s="6"/>
      <c r="H38" s="121"/>
      <c r="J38" s="110"/>
    </row>
    <row r="39" spans="1:10" ht="12.75">
      <c r="A39" s="99"/>
      <c r="B39" s="25"/>
      <c r="C39" s="25"/>
      <c r="D39" s="110"/>
      <c r="E39" s="3"/>
      <c r="F39" s="111"/>
      <c r="G39" s="3"/>
      <c r="H39" s="111"/>
      <c r="J39" s="118"/>
    </row>
    <row r="40" spans="1:10" ht="12.75">
      <c r="A40" s="104"/>
      <c r="B40" s="14" t="s">
        <v>94</v>
      </c>
      <c r="C40" s="14"/>
      <c r="D40" s="113" t="s">
        <v>280</v>
      </c>
      <c r="E40" s="81">
        <f>G40-J40</f>
        <v>0</v>
      </c>
      <c r="F40" s="121">
        <v>0</v>
      </c>
      <c r="G40" s="6">
        <v>0</v>
      </c>
      <c r="H40" s="121">
        <v>0</v>
      </c>
      <c r="J40" s="126">
        <v>0</v>
      </c>
    </row>
    <row r="41" spans="1:10" ht="12.75">
      <c r="A41" s="99"/>
      <c r="B41" s="25"/>
      <c r="C41" s="25"/>
      <c r="D41" s="110"/>
      <c r="E41" s="3"/>
      <c r="F41" s="111"/>
      <c r="G41" s="3"/>
      <c r="H41" s="111"/>
      <c r="J41" s="110"/>
    </row>
    <row r="42" spans="1:10" ht="12.75">
      <c r="A42" s="99"/>
      <c r="B42" s="25" t="s">
        <v>96</v>
      </c>
      <c r="C42" s="25" t="s">
        <v>96</v>
      </c>
      <c r="D42" s="110" t="s">
        <v>281</v>
      </c>
      <c r="E42" s="209">
        <f>G42-J42</f>
        <v>-1558.4359999999997</v>
      </c>
      <c r="F42" s="212">
        <v>-2679</v>
      </c>
      <c r="G42" s="210">
        <f>'seal-mfg'!$Q$73*J1</f>
        <v>-4982.436</v>
      </c>
      <c r="H42" s="213">
        <v>-9161</v>
      </c>
      <c r="J42" s="111">
        <v>-3424</v>
      </c>
    </row>
    <row r="43" spans="1:10" ht="12.75">
      <c r="A43" s="99"/>
      <c r="B43" s="25"/>
      <c r="C43" s="25"/>
      <c r="D43" s="113" t="s">
        <v>282</v>
      </c>
      <c r="E43" s="6"/>
      <c r="F43" s="121"/>
      <c r="G43" s="13"/>
      <c r="H43" s="121"/>
      <c r="J43" s="111"/>
    </row>
    <row r="44" spans="1:10" ht="12.75">
      <c r="A44" s="99"/>
      <c r="B44" s="25"/>
      <c r="C44" s="25"/>
      <c r="D44" s="110"/>
      <c r="E44" s="3"/>
      <c r="F44" s="111"/>
      <c r="G44" s="3"/>
      <c r="H44" s="111"/>
      <c r="J44" s="200"/>
    </row>
    <row r="45" spans="1:10" ht="12.75">
      <c r="A45" s="104"/>
      <c r="B45" s="14"/>
      <c r="C45" s="14" t="s">
        <v>97</v>
      </c>
      <c r="D45" s="113" t="s">
        <v>283</v>
      </c>
      <c r="E45" s="81">
        <f>G45-J45</f>
        <v>191.613</v>
      </c>
      <c r="F45" s="121">
        <v>255</v>
      </c>
      <c r="G45" s="6">
        <f>'seal-mfg'!$Q$75*J1-1</f>
        <v>350.613</v>
      </c>
      <c r="H45" s="121">
        <v>1254</v>
      </c>
      <c r="J45" s="121">
        <v>159</v>
      </c>
    </row>
    <row r="46" spans="1:10" ht="12.75">
      <c r="A46" s="99"/>
      <c r="B46" s="25"/>
      <c r="C46" s="25"/>
      <c r="D46" s="110"/>
      <c r="E46" s="29"/>
      <c r="F46" s="111"/>
      <c r="G46" s="3"/>
      <c r="H46" s="111"/>
      <c r="J46" s="111"/>
    </row>
    <row r="47" spans="1:10" ht="12.75">
      <c r="A47" s="104"/>
      <c r="B47" s="14" t="s">
        <v>98</v>
      </c>
      <c r="C47" s="14"/>
      <c r="D47" s="113" t="s">
        <v>284</v>
      </c>
      <c r="E47" s="81"/>
      <c r="F47" s="121"/>
      <c r="G47" s="6"/>
      <c r="H47" s="121"/>
      <c r="J47" s="111"/>
    </row>
    <row r="48" spans="1:10" ht="12.75">
      <c r="A48" s="99"/>
      <c r="B48" s="25"/>
      <c r="C48" s="25"/>
      <c r="D48" s="110"/>
      <c r="E48" s="29"/>
      <c r="F48" s="111"/>
      <c r="G48" s="3"/>
      <c r="H48" s="111"/>
      <c r="J48" s="200"/>
    </row>
    <row r="49" spans="1:10" ht="12.75">
      <c r="A49" s="99"/>
      <c r="B49" s="25" t="s">
        <v>99</v>
      </c>
      <c r="C49" s="25"/>
      <c r="D49" s="110" t="s">
        <v>285</v>
      </c>
      <c r="E49" s="209">
        <f>G49-J49</f>
        <v>-1365.8230000000003</v>
      </c>
      <c r="F49" s="210">
        <v>-2424</v>
      </c>
      <c r="G49" s="211">
        <f>'seal-mfg'!$Q$81*J1</f>
        <v>-4630.823</v>
      </c>
      <c r="H49" s="210">
        <v>-7907</v>
      </c>
      <c r="J49" s="111">
        <v>-3265</v>
      </c>
    </row>
    <row r="50" spans="1:10" ht="12.75">
      <c r="A50" s="104"/>
      <c r="B50" s="14"/>
      <c r="C50" s="14"/>
      <c r="D50" s="113" t="s">
        <v>286</v>
      </c>
      <c r="E50" s="6"/>
      <c r="F50" s="121"/>
      <c r="G50" s="13"/>
      <c r="H50" s="121"/>
      <c r="J50" s="113"/>
    </row>
    <row r="51" spans="1:10" ht="12.75">
      <c r="A51" s="99"/>
      <c r="B51" s="25"/>
      <c r="C51" s="25"/>
      <c r="D51" s="110"/>
      <c r="E51" s="3"/>
      <c r="F51" s="111"/>
      <c r="G51" s="3"/>
      <c r="H51" s="111"/>
      <c r="J51" s="110"/>
    </row>
    <row r="52" spans="1:10" ht="12.75">
      <c r="A52" s="99"/>
      <c r="B52" s="25" t="s">
        <v>102</v>
      </c>
      <c r="C52" s="25" t="s">
        <v>96</v>
      </c>
      <c r="D52" s="136" t="s">
        <v>100</v>
      </c>
      <c r="E52" s="6">
        <f>G52</f>
        <v>0</v>
      </c>
      <c r="F52" s="121">
        <v>0</v>
      </c>
      <c r="G52" s="6">
        <v>0</v>
      </c>
      <c r="H52" s="121">
        <v>0</v>
      </c>
      <c r="J52" s="196">
        <v>0</v>
      </c>
    </row>
    <row r="53" spans="1:10" ht="12.75">
      <c r="A53" s="99"/>
      <c r="B53" s="25"/>
      <c r="C53" s="25" t="s">
        <v>97</v>
      </c>
      <c r="D53" s="115" t="s">
        <v>283</v>
      </c>
      <c r="E53" s="2">
        <f>G53</f>
        <v>0</v>
      </c>
      <c r="F53" s="137">
        <v>0</v>
      </c>
      <c r="G53" s="138">
        <v>0</v>
      </c>
      <c r="H53" s="137">
        <v>0</v>
      </c>
      <c r="J53" s="201">
        <v>0</v>
      </c>
    </row>
    <row r="54" spans="1:10" ht="12.75">
      <c r="A54" s="99"/>
      <c r="B54" s="25"/>
      <c r="C54" s="25" t="s">
        <v>101</v>
      </c>
      <c r="D54" s="114" t="s">
        <v>287</v>
      </c>
      <c r="E54" s="3">
        <f>G54</f>
        <v>0</v>
      </c>
      <c r="F54" s="111">
        <v>0</v>
      </c>
      <c r="G54" s="3">
        <v>0</v>
      </c>
      <c r="H54" s="111">
        <v>0</v>
      </c>
      <c r="J54" s="196">
        <v>0</v>
      </c>
    </row>
    <row r="55" spans="1:10" ht="12.75">
      <c r="A55" s="104"/>
      <c r="B55" s="14"/>
      <c r="C55" s="14"/>
      <c r="D55" s="113" t="s">
        <v>288</v>
      </c>
      <c r="E55" s="6"/>
      <c r="F55" s="121"/>
      <c r="G55" s="6"/>
      <c r="H55" s="121"/>
      <c r="J55" s="110"/>
    </row>
    <row r="56" spans="1:10" ht="12.75">
      <c r="A56" s="99"/>
      <c r="B56" s="25"/>
      <c r="C56" s="25"/>
      <c r="D56" s="110"/>
      <c r="E56" s="3"/>
      <c r="F56" s="111"/>
      <c r="G56" s="3"/>
      <c r="H56" s="111"/>
      <c r="J56" s="118"/>
    </row>
    <row r="57" spans="1:10" ht="12.75">
      <c r="A57" s="99"/>
      <c r="B57" s="25" t="s">
        <v>289</v>
      </c>
      <c r="C57" s="25"/>
      <c r="D57" s="110" t="s">
        <v>300</v>
      </c>
      <c r="E57" s="209">
        <f>G57-J57</f>
        <v>-1365.8230000000003</v>
      </c>
      <c r="F57" s="210">
        <v>-2424</v>
      </c>
      <c r="G57" s="211">
        <f>'seal-mfg'!$Q$81*J1</f>
        <v>-4630.823</v>
      </c>
      <c r="H57" s="210">
        <v>-7907</v>
      </c>
      <c r="J57" s="196">
        <v>-3265</v>
      </c>
    </row>
    <row r="58" spans="1:10" ht="12.75">
      <c r="A58" s="104"/>
      <c r="B58" s="14"/>
      <c r="C58" s="14"/>
      <c r="D58" s="110" t="s">
        <v>288</v>
      </c>
      <c r="E58" s="3"/>
      <c r="F58" s="111"/>
      <c r="G58" s="3"/>
      <c r="H58" s="111"/>
      <c r="J58" s="113"/>
    </row>
    <row r="59" spans="1:10" ht="12.75">
      <c r="A59" s="99"/>
      <c r="B59" s="25"/>
      <c r="C59" s="25"/>
      <c r="D59" s="95"/>
      <c r="E59" s="135"/>
      <c r="F59" s="97"/>
      <c r="G59" s="97"/>
      <c r="H59" s="98"/>
      <c r="J59" s="110"/>
    </row>
    <row r="60" spans="1:10" ht="12.75">
      <c r="A60" s="99">
        <v>3</v>
      </c>
      <c r="B60" s="25"/>
      <c r="C60" s="25"/>
      <c r="D60" s="99" t="s">
        <v>290</v>
      </c>
      <c r="E60" s="12"/>
      <c r="F60" s="12"/>
      <c r="G60" s="12"/>
      <c r="H60" s="101"/>
      <c r="J60" s="110"/>
    </row>
    <row r="61" spans="1:10" ht="12.75">
      <c r="A61" s="99"/>
      <c r="B61" s="25"/>
      <c r="C61" s="25"/>
      <c r="D61" s="99" t="s">
        <v>103</v>
      </c>
      <c r="E61" s="12"/>
      <c r="F61" s="12"/>
      <c r="G61" s="12"/>
      <c r="H61" s="101"/>
      <c r="J61" s="110"/>
    </row>
    <row r="62" spans="1:10" ht="12.75">
      <c r="A62" s="104"/>
      <c r="B62" s="14"/>
      <c r="C62" s="14"/>
      <c r="D62" s="104" t="s">
        <v>291</v>
      </c>
      <c r="E62" s="124"/>
      <c r="F62" s="13"/>
      <c r="G62" s="124"/>
      <c r="H62" s="105"/>
      <c r="J62" s="110"/>
    </row>
    <row r="63" spans="1:10" ht="12.75">
      <c r="A63" s="99"/>
      <c r="B63" s="25"/>
      <c r="C63" s="25"/>
      <c r="D63" s="110"/>
      <c r="E63" s="86"/>
      <c r="F63" s="110"/>
      <c r="G63" s="86"/>
      <c r="H63" s="110"/>
      <c r="J63" s="118"/>
    </row>
    <row r="64" spans="1:10" ht="12.75">
      <c r="A64" s="104"/>
      <c r="B64" s="14" t="s">
        <v>82</v>
      </c>
      <c r="C64" s="14"/>
      <c r="D64" s="113" t="s">
        <v>410</v>
      </c>
      <c r="E64" s="214">
        <f>ROUND(E57/'b-sheet'!B53*100,2)</f>
        <v>-1.22</v>
      </c>
      <c r="F64" s="215">
        <f>ROUND(F57/112146*100,2)</f>
        <v>-2.16</v>
      </c>
      <c r="G64" s="214">
        <f>ROUND(G57/'b-sheet'!B53*100,2)</f>
        <v>-4.13</v>
      </c>
      <c r="H64" s="215">
        <f>ROUND(H57/112146*100,2)</f>
        <v>-7.05</v>
      </c>
      <c r="J64" s="125">
        <v>-2.91</v>
      </c>
    </row>
    <row r="65" spans="1:10" ht="12.75">
      <c r="A65" s="99"/>
      <c r="B65" s="25"/>
      <c r="C65" s="25"/>
      <c r="D65" s="110"/>
      <c r="E65" s="103"/>
      <c r="F65" s="112"/>
      <c r="G65" s="103"/>
      <c r="H65" s="112"/>
      <c r="J65" s="112"/>
    </row>
    <row r="66" spans="1:10" ht="12.75">
      <c r="A66" s="104"/>
      <c r="B66" s="14" t="s">
        <v>84</v>
      </c>
      <c r="C66" s="14"/>
      <c r="D66" s="113" t="s">
        <v>292</v>
      </c>
      <c r="E66" s="124">
        <v>0</v>
      </c>
      <c r="F66" s="126">
        <v>0</v>
      </c>
      <c r="G66" s="124">
        <v>0</v>
      </c>
      <c r="H66" s="126">
        <v>0</v>
      </c>
      <c r="J66" s="197">
        <v>0</v>
      </c>
    </row>
    <row r="67" spans="1:10" ht="12.75">
      <c r="A67" s="99"/>
      <c r="B67" s="25"/>
      <c r="C67" s="25"/>
      <c r="D67" s="110"/>
      <c r="E67" s="86"/>
      <c r="F67" s="110"/>
      <c r="G67" s="86"/>
      <c r="H67" s="110"/>
      <c r="J67" s="118"/>
    </row>
    <row r="68" spans="1:10" ht="12.75">
      <c r="A68" s="104">
        <v>4</v>
      </c>
      <c r="B68" s="14" t="s">
        <v>82</v>
      </c>
      <c r="C68" s="14"/>
      <c r="D68" s="113" t="s">
        <v>104</v>
      </c>
      <c r="E68" s="86">
        <f>G68</f>
        <v>0</v>
      </c>
      <c r="F68" s="132">
        <v>0</v>
      </c>
      <c r="G68" s="86">
        <v>0</v>
      </c>
      <c r="H68" s="132">
        <v>0</v>
      </c>
      <c r="J68" s="125">
        <v>0</v>
      </c>
    </row>
    <row r="69" spans="1:10" ht="12.75">
      <c r="A69" s="99"/>
      <c r="B69" s="25"/>
      <c r="C69" s="25"/>
      <c r="D69" s="99"/>
      <c r="E69" s="133"/>
      <c r="F69" s="97"/>
      <c r="G69" s="134"/>
      <c r="H69" s="98"/>
      <c r="J69" s="110"/>
    </row>
    <row r="70" spans="1:10" ht="12.75">
      <c r="A70" s="104"/>
      <c r="B70" s="14" t="s">
        <v>84</v>
      </c>
      <c r="C70" s="14"/>
      <c r="D70" s="104" t="s">
        <v>293</v>
      </c>
      <c r="E70" s="104"/>
      <c r="F70" s="13"/>
      <c r="G70" s="13"/>
      <c r="H70" s="105"/>
      <c r="J70" s="110"/>
    </row>
    <row r="71" spans="5:10" ht="12.75">
      <c r="E71" s="27"/>
      <c r="J71" s="110"/>
    </row>
    <row r="72" spans="1:10" ht="12.75">
      <c r="A72" s="95"/>
      <c r="B72" s="96"/>
      <c r="C72" s="129"/>
      <c r="D72" s="97"/>
      <c r="E72" s="226" t="s">
        <v>298</v>
      </c>
      <c r="F72" s="219"/>
      <c r="G72" s="218" t="s">
        <v>299</v>
      </c>
      <c r="H72" s="219"/>
      <c r="J72" s="110"/>
    </row>
    <row r="73" spans="1:10" ht="12.75">
      <c r="A73" s="99"/>
      <c r="B73" s="25"/>
      <c r="C73" s="130"/>
      <c r="D73" s="12"/>
      <c r="E73" s="227" t="s">
        <v>78</v>
      </c>
      <c r="F73" s="221"/>
      <c r="G73" s="220" t="s">
        <v>247</v>
      </c>
      <c r="H73" s="221"/>
      <c r="J73" s="110"/>
    </row>
    <row r="74" spans="1:10" ht="12.75">
      <c r="A74" s="104"/>
      <c r="B74" s="14"/>
      <c r="C74" s="131"/>
      <c r="D74" s="13"/>
      <c r="E74" s="228">
        <v>37346</v>
      </c>
      <c r="F74" s="223"/>
      <c r="G74" s="222">
        <v>37072</v>
      </c>
      <c r="H74" s="223"/>
      <c r="J74" s="110"/>
    </row>
    <row r="75" spans="1:10" ht="12.75">
      <c r="A75" s="104">
        <v>5</v>
      </c>
      <c r="B75" s="14"/>
      <c r="C75" s="131"/>
      <c r="D75" s="13" t="s">
        <v>105</v>
      </c>
      <c r="E75" s="224">
        <f>'b-sheet'!$B$63/100</f>
        <v>0.35</v>
      </c>
      <c r="F75" s="225"/>
      <c r="G75" s="224">
        <f>'b-sheet'!$C$63/100</f>
        <v>0.39</v>
      </c>
      <c r="H75" s="225"/>
      <c r="J75" s="113"/>
    </row>
    <row r="78" ht="12.75">
      <c r="E78" s="30"/>
    </row>
    <row r="81" ht="12.75">
      <c r="I81">
        <v>1000</v>
      </c>
    </row>
    <row r="83" ht="12.75">
      <c r="D83" s="39"/>
    </row>
    <row r="84" ht="12.75">
      <c r="E84" s="11"/>
    </row>
    <row r="85" spans="5:8" ht="12.75">
      <c r="E85" s="11"/>
      <c r="F85" s="11"/>
      <c r="G85" s="11"/>
      <c r="H85" s="11"/>
    </row>
    <row r="86" spans="5:8" ht="12.75">
      <c r="E86" s="11"/>
      <c r="F86" s="11"/>
      <c r="G86" s="11"/>
      <c r="H86" s="11"/>
    </row>
    <row r="87" spans="5:8" ht="12.75">
      <c r="E87" s="11"/>
      <c r="F87" s="11"/>
      <c r="G87" s="11"/>
      <c r="H87" s="11"/>
    </row>
    <row r="88" spans="5:8" ht="12.75">
      <c r="E88" s="11"/>
      <c r="F88" s="11"/>
      <c r="G88" s="11"/>
      <c r="H88" s="11"/>
    </row>
    <row r="89" spans="5:8" ht="12.75">
      <c r="E89" s="11"/>
      <c r="F89" s="11"/>
      <c r="G89" s="11"/>
      <c r="H89" s="11"/>
    </row>
    <row r="90" ht="12.75">
      <c r="F90" s="11"/>
    </row>
    <row r="91" spans="1:8" ht="12.75">
      <c r="A91" s="30"/>
      <c r="F91" s="4"/>
      <c r="G91" s="1"/>
      <c r="H91" s="4"/>
    </row>
    <row r="92" spans="5:8" ht="12.75">
      <c r="E92" s="1"/>
      <c r="F92" s="1"/>
      <c r="G92" s="1"/>
      <c r="H92" s="1"/>
    </row>
    <row r="93" spans="1:8" ht="12.75">
      <c r="A93" s="30"/>
      <c r="F93" s="1"/>
      <c r="G93" s="1"/>
      <c r="H93" s="1"/>
    </row>
    <row r="94" spans="5:8" ht="12.75">
      <c r="E94" s="1"/>
      <c r="F94" s="1"/>
      <c r="G94" s="1"/>
      <c r="H94" s="1"/>
    </row>
    <row r="95" spans="1:8" ht="12.75">
      <c r="A95" s="31"/>
      <c r="F95" s="1"/>
      <c r="G95" s="1"/>
      <c r="H95" s="1"/>
    </row>
    <row r="96" spans="5:8" ht="12.75">
      <c r="E96" s="1"/>
      <c r="F96" s="1"/>
      <c r="G96" s="1"/>
      <c r="H96" s="1"/>
    </row>
    <row r="97" spans="1:8" ht="12.75">
      <c r="A97" s="30"/>
      <c r="E97" s="1"/>
      <c r="F97" s="1"/>
      <c r="G97" s="1"/>
      <c r="H97" s="1"/>
    </row>
    <row r="98" spans="1:8" ht="12.75">
      <c r="A98" s="30"/>
      <c r="E98" s="1"/>
      <c r="F98" s="1"/>
      <c r="G98" s="1"/>
      <c r="H98" s="1"/>
    </row>
    <row r="99" spans="5:8" ht="12.75">
      <c r="E99" s="1"/>
      <c r="F99" s="1"/>
      <c r="G99" s="1"/>
      <c r="H99" s="1"/>
    </row>
    <row r="100" spans="5:8" ht="12.75">
      <c r="E100" s="1"/>
      <c r="F100" s="1"/>
      <c r="G100" s="1"/>
      <c r="H100" s="1"/>
    </row>
    <row r="101" spans="5:8" ht="12.75">
      <c r="E101" s="1"/>
      <c r="F101" s="1"/>
      <c r="G101" s="1"/>
      <c r="H101" s="1"/>
    </row>
    <row r="102" spans="6:8" ht="12.75">
      <c r="F102" s="1"/>
      <c r="G102" s="1"/>
      <c r="H102" s="1"/>
    </row>
    <row r="103" spans="5:8" ht="12.75">
      <c r="E103" s="1"/>
      <c r="F103" s="1"/>
      <c r="G103" s="1"/>
      <c r="H103" s="1"/>
    </row>
    <row r="104" spans="2:8" ht="12.75">
      <c r="B104" s="41"/>
      <c r="F104" s="1"/>
      <c r="G104" s="1"/>
      <c r="H104" s="1"/>
    </row>
    <row r="105" spans="5:8" ht="12.75">
      <c r="E105" s="1"/>
      <c r="F105" s="1"/>
      <c r="G105" s="1"/>
      <c r="H105" s="1"/>
    </row>
    <row r="106" spans="5:8" ht="12.75">
      <c r="E106" s="1"/>
      <c r="F106" s="1"/>
      <c r="G106" s="1"/>
      <c r="H106" s="1"/>
    </row>
    <row r="107" spans="5:8" ht="12.75">
      <c r="E107" s="1"/>
      <c r="F107" s="1"/>
      <c r="G107" s="1"/>
      <c r="H107" s="1"/>
    </row>
    <row r="108" spans="6:8" ht="12.75">
      <c r="F108" s="1"/>
      <c r="G108" s="1"/>
      <c r="H108" s="1"/>
    </row>
    <row r="109" spans="5:8" ht="12.75">
      <c r="E109" s="1"/>
      <c r="F109" s="1"/>
      <c r="G109" s="1"/>
      <c r="H109" s="1"/>
    </row>
    <row r="110" spans="5:8" ht="12.75">
      <c r="E110" s="1"/>
      <c r="F110" s="1"/>
      <c r="G110" s="1"/>
      <c r="H110" s="1"/>
    </row>
    <row r="111" spans="5:8" ht="12.75">
      <c r="E111" s="1"/>
      <c r="F111" s="1"/>
      <c r="G111" s="1"/>
      <c r="H111" s="1"/>
    </row>
    <row r="112" spans="5:8" ht="12.75">
      <c r="E112" s="1"/>
      <c r="F112" s="1"/>
      <c r="G112" s="1"/>
      <c r="H112" s="1"/>
    </row>
    <row r="113" spans="5:8" ht="12.75">
      <c r="E113" s="1"/>
      <c r="F113" s="1"/>
      <c r="G113" s="1"/>
      <c r="H113" s="1"/>
    </row>
    <row r="114" spans="5:8" ht="12.75">
      <c r="E114" s="1"/>
      <c r="F114" s="1"/>
      <c r="G114" s="1"/>
      <c r="H114" s="1"/>
    </row>
    <row r="115" spans="6:8" ht="12.75">
      <c r="F115" s="1"/>
      <c r="G115" s="1"/>
      <c r="H115" s="1"/>
    </row>
    <row r="116" spans="5:8" ht="12.75">
      <c r="E116" s="1"/>
      <c r="F116" s="1"/>
      <c r="G116" s="1"/>
      <c r="H116" s="1"/>
    </row>
    <row r="117" spans="5:8" ht="12.75">
      <c r="E117" s="1"/>
      <c r="F117" s="1"/>
      <c r="G117" s="1"/>
      <c r="H117" s="1"/>
    </row>
    <row r="118" spans="5:8" ht="12.75">
      <c r="E118" s="1"/>
      <c r="F118" s="1"/>
      <c r="G118" s="1"/>
      <c r="H118" s="1"/>
    </row>
    <row r="119" spans="5:8" ht="12.75">
      <c r="E119" s="1"/>
      <c r="F119" s="1"/>
      <c r="G119" s="1"/>
      <c r="H119" s="1"/>
    </row>
    <row r="120" spans="6:8" ht="12.75">
      <c r="F120" s="1"/>
      <c r="G120" s="1"/>
      <c r="H120" s="1"/>
    </row>
    <row r="121" spans="5:8" ht="12.75">
      <c r="E121" s="1"/>
      <c r="F121" s="1"/>
      <c r="G121" s="1"/>
      <c r="H121" s="1"/>
    </row>
    <row r="122" spans="5:8" ht="12.75">
      <c r="E122" s="1"/>
      <c r="F122" s="1"/>
      <c r="G122" s="1"/>
      <c r="H122" s="1"/>
    </row>
    <row r="123" spans="6:8" ht="12.75">
      <c r="F123" s="1"/>
      <c r="G123" s="1"/>
      <c r="H123" s="1"/>
    </row>
    <row r="124" spans="5:8" ht="12.75">
      <c r="E124" s="1"/>
      <c r="F124" s="1"/>
      <c r="G124" s="1"/>
      <c r="H124" s="1"/>
    </row>
    <row r="125" spans="6:8" ht="12.75">
      <c r="F125" s="1"/>
      <c r="G125" s="1"/>
      <c r="H125" s="1"/>
    </row>
    <row r="126" spans="5:8" ht="12.75">
      <c r="E126" s="1"/>
      <c r="F126" s="1"/>
      <c r="G126" s="1"/>
      <c r="H126" s="1"/>
    </row>
    <row r="127" spans="5:8" ht="12.75">
      <c r="E127" s="1"/>
      <c r="F127" s="1"/>
      <c r="G127" s="1"/>
      <c r="H127" s="1"/>
    </row>
    <row r="128" spans="4:8" ht="12.75">
      <c r="D128" s="31"/>
      <c r="E128" s="1"/>
      <c r="F128" s="1"/>
      <c r="G128" s="1"/>
      <c r="H128" s="1"/>
    </row>
    <row r="129" spans="4:8" ht="12.75">
      <c r="D129" s="31"/>
      <c r="E129" s="1"/>
      <c r="F129" s="1"/>
      <c r="G129" s="1"/>
      <c r="H129" s="1"/>
    </row>
    <row r="130" spans="4:8" ht="12.75">
      <c r="D130" s="31"/>
      <c r="E130" s="1"/>
      <c r="F130" s="1"/>
      <c r="G130" s="1"/>
      <c r="H130" s="1"/>
    </row>
    <row r="131" spans="5:8" ht="12.75">
      <c r="E131" s="1"/>
      <c r="F131" s="1"/>
      <c r="G131" s="1"/>
      <c r="H131" s="1"/>
    </row>
    <row r="132" spans="5:8" ht="12.75">
      <c r="E132" s="1"/>
      <c r="F132" s="1"/>
      <c r="G132" s="1"/>
      <c r="H132" s="1"/>
    </row>
    <row r="133" spans="6:8" ht="12.75">
      <c r="F133" s="1"/>
      <c r="G133" s="1"/>
      <c r="H133" s="1"/>
    </row>
    <row r="134" spans="5:8" ht="12.75">
      <c r="E134" s="1"/>
      <c r="F134" s="1"/>
      <c r="G134" s="1"/>
      <c r="H134" s="1"/>
    </row>
    <row r="135" spans="7:8" ht="12.75">
      <c r="G135" s="27"/>
      <c r="H135" s="27"/>
    </row>
    <row r="136" spans="5:8" ht="12.75">
      <c r="E136" s="40"/>
      <c r="F136" s="40"/>
      <c r="G136" s="40"/>
      <c r="H136" s="40"/>
    </row>
    <row r="137" spans="5:8" ht="12.75">
      <c r="E137" s="40"/>
      <c r="G137" s="57"/>
      <c r="H137" s="27"/>
    </row>
    <row r="138" spans="5:8" ht="12.75">
      <c r="E138" s="40"/>
      <c r="G138" s="40"/>
      <c r="H138" s="27"/>
    </row>
    <row r="139" spans="5:8" ht="12.75">
      <c r="E139" s="40"/>
      <c r="G139" s="40"/>
      <c r="H139" s="27"/>
    </row>
    <row r="140" spans="5:8" ht="12.75">
      <c r="E140" s="40"/>
      <c r="F140" s="40"/>
      <c r="G140" s="40"/>
      <c r="H140" s="40"/>
    </row>
    <row r="141" spans="7:8" ht="12.75">
      <c r="G141" s="27"/>
      <c r="H141" s="27"/>
    </row>
    <row r="142" spans="7:8" ht="12.75">
      <c r="G142" s="27"/>
      <c r="H142" s="27"/>
    </row>
    <row r="143" ht="12.75">
      <c r="H143" s="27"/>
    </row>
    <row r="144" ht="12.75">
      <c r="H144" s="27"/>
    </row>
    <row r="145" spans="6:8" ht="12.75">
      <c r="F145" s="40"/>
      <c r="G145" s="38"/>
      <c r="H145" s="40"/>
    </row>
  </sheetData>
  <mergeCells count="8">
    <mergeCell ref="E72:F72"/>
    <mergeCell ref="E73:F73"/>
    <mergeCell ref="E74:F74"/>
    <mergeCell ref="E75:F75"/>
    <mergeCell ref="G72:H72"/>
    <mergeCell ref="G73:H73"/>
    <mergeCell ref="G74:H74"/>
    <mergeCell ref="G75:H75"/>
  </mergeCells>
  <printOptions horizontalCentered="1"/>
  <pageMargins left="0.25" right="0.25" top="0.5" bottom="0.5" header="0.5" footer="0.5"/>
  <pageSetup horizontalDpi="360" verticalDpi="36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1">
      <selection activeCell="A1" sqref="A1:C63"/>
    </sheetView>
  </sheetViews>
  <sheetFormatPr defaultColWidth="9.140625" defaultRowHeight="12.75"/>
  <cols>
    <col min="1" max="1" width="44.00390625" style="0" customWidth="1"/>
    <col min="2" max="2" width="14.140625" style="0" customWidth="1"/>
    <col min="3" max="3" width="16.00390625" style="0" customWidth="1"/>
    <col min="4" max="4" width="0" style="0" hidden="1" customWidth="1"/>
  </cols>
  <sheetData>
    <row r="1" spans="1:2" ht="12.75">
      <c r="A1" s="60" t="s">
        <v>72</v>
      </c>
      <c r="B1" s="32"/>
    </row>
    <row r="2" spans="1:2" ht="12.75">
      <c r="A2" s="32"/>
      <c r="B2" s="32"/>
    </row>
    <row r="3" spans="1:2" ht="12.75">
      <c r="A3" s="32" t="s">
        <v>268</v>
      </c>
      <c r="B3" s="32"/>
    </row>
    <row r="4" spans="1:2" ht="12.75">
      <c r="A4" s="32"/>
      <c r="B4" s="32"/>
    </row>
    <row r="5" spans="1:4" ht="12.75">
      <c r="A5" s="32" t="s">
        <v>106</v>
      </c>
      <c r="B5" s="33" t="s">
        <v>96</v>
      </c>
      <c r="C5" s="11" t="s">
        <v>97</v>
      </c>
      <c r="D5">
        <v>0.001</v>
      </c>
    </row>
    <row r="6" spans="1:3" ht="12.75">
      <c r="A6" s="32"/>
      <c r="B6" s="33" t="s">
        <v>107</v>
      </c>
      <c r="C6" s="11" t="s">
        <v>244</v>
      </c>
    </row>
    <row r="7" spans="1:3" ht="12.75">
      <c r="A7" s="32"/>
      <c r="B7" s="33" t="s">
        <v>108</v>
      </c>
      <c r="C7" s="11" t="s">
        <v>245</v>
      </c>
    </row>
    <row r="8" spans="1:3" ht="12.75">
      <c r="A8" s="32"/>
      <c r="B8" s="33" t="s">
        <v>75</v>
      </c>
      <c r="C8" s="11" t="s">
        <v>246</v>
      </c>
    </row>
    <row r="9" spans="1:3" ht="12.75">
      <c r="A9" s="32"/>
      <c r="B9" s="33" t="s">
        <v>78</v>
      </c>
      <c r="C9" s="11" t="s">
        <v>247</v>
      </c>
    </row>
    <row r="10" spans="1:3" ht="12.75">
      <c r="A10" s="32"/>
      <c r="B10" s="64" t="s">
        <v>389</v>
      </c>
      <c r="C10" s="65" t="s">
        <v>308</v>
      </c>
    </row>
    <row r="11" spans="1:3" ht="12.75">
      <c r="A11" s="34"/>
      <c r="B11" s="25" t="s">
        <v>81</v>
      </c>
      <c r="C11" s="25" t="s">
        <v>81</v>
      </c>
    </row>
    <row r="13" spans="1:2" ht="12.75">
      <c r="A13" s="32" t="s">
        <v>146</v>
      </c>
      <c r="B13" s="33"/>
    </row>
    <row r="14" spans="1:3" ht="12.75">
      <c r="A14" s="32" t="s">
        <v>147</v>
      </c>
      <c r="B14" s="36">
        <f>'seal-mfg'!Q8*$D$5-1</f>
        <v>10802.703</v>
      </c>
      <c r="C14" s="1">
        <v>14178</v>
      </c>
    </row>
    <row r="15" spans="1:3" ht="12.75">
      <c r="A15" s="32" t="s">
        <v>148</v>
      </c>
      <c r="B15" s="36">
        <f>'seal-mfg'!Q9*$D$5</f>
        <v>116031.663</v>
      </c>
      <c r="C15" s="1">
        <v>116032</v>
      </c>
    </row>
    <row r="16" spans="1:3" ht="12.75" hidden="1">
      <c r="A16" s="32" t="s">
        <v>149</v>
      </c>
      <c r="B16" s="36">
        <f>'seal-mfg'!Q10*$D$5</f>
        <v>0</v>
      </c>
      <c r="C16" s="1">
        <v>0</v>
      </c>
    </row>
    <row r="17" spans="1:3" ht="12.75">
      <c r="A17" s="32" t="s">
        <v>158</v>
      </c>
      <c r="B17" s="36">
        <f>'seal-mfg'!Q11*$D$5</f>
        <v>55127.191</v>
      </c>
      <c r="C17" s="1">
        <v>55082</v>
      </c>
    </row>
    <row r="18" spans="1:3" ht="12.75" hidden="1">
      <c r="A18" s="32" t="s">
        <v>150</v>
      </c>
      <c r="B18" s="36">
        <f>'seal-mfg'!Q12*$D$5</f>
        <v>0</v>
      </c>
      <c r="C18" s="1">
        <v>0</v>
      </c>
    </row>
    <row r="19" spans="1:3" ht="12.75">
      <c r="A19" s="32" t="s">
        <v>151</v>
      </c>
      <c r="B19" s="58">
        <f>'seal-mfg'!Q13*$D$5</f>
        <v>4</v>
      </c>
      <c r="C19" s="6">
        <v>4</v>
      </c>
    </row>
    <row r="20" spans="1:3" ht="12.75" hidden="1">
      <c r="A20" s="32" t="s">
        <v>185</v>
      </c>
      <c r="B20" s="58">
        <f>'seal-mfg'!Q14*$D$5</f>
        <v>0</v>
      </c>
      <c r="C20" s="6">
        <v>0</v>
      </c>
    </row>
    <row r="21" spans="1:3" ht="12.75">
      <c r="A21" s="32"/>
      <c r="B21" s="36">
        <f>SUM(B14:B20)</f>
        <v>181965.557</v>
      </c>
      <c r="C21" s="36">
        <f>SUM(C14:C20)</f>
        <v>185296</v>
      </c>
    </row>
    <row r="22" spans="1:3" ht="12.75">
      <c r="A22" s="32" t="s">
        <v>46</v>
      </c>
      <c r="B22" s="19"/>
      <c r="C22" s="27"/>
    </row>
    <row r="23" spans="1:3" ht="12.75">
      <c r="A23" s="63" t="s">
        <v>152</v>
      </c>
      <c r="B23" s="36">
        <f>'seal-mfg'!Q17*$D$5</f>
        <v>757.813</v>
      </c>
      <c r="C23" s="27">
        <v>823</v>
      </c>
    </row>
    <row r="24" spans="1:3" ht="12.75">
      <c r="A24" s="63" t="s">
        <v>12</v>
      </c>
      <c r="B24" s="36">
        <f>'seal-mfg'!Q18*$D$5</f>
        <v>809.404</v>
      </c>
      <c r="C24" s="27">
        <v>772</v>
      </c>
    </row>
    <row r="25" spans="1:3" ht="12.75">
      <c r="A25" s="32" t="s">
        <v>13</v>
      </c>
      <c r="B25" s="36">
        <f>'seal-mfg'!Q19*$D$5</f>
        <v>1237.8120000000001</v>
      </c>
      <c r="C25" s="27">
        <v>1653</v>
      </c>
    </row>
    <row r="26" spans="1:3" ht="12.75" hidden="1">
      <c r="A26" s="32" t="s">
        <v>171</v>
      </c>
      <c r="B26" s="36">
        <f>'seal-mfg'!Q20*$D$5</f>
        <v>0</v>
      </c>
      <c r="C26" s="27">
        <v>0</v>
      </c>
    </row>
    <row r="27" spans="1:3" ht="12.75" hidden="1">
      <c r="A27" s="32" t="s">
        <v>165</v>
      </c>
      <c r="B27" s="36">
        <f>'seal-mfg'!Q21*$D$5</f>
        <v>0</v>
      </c>
      <c r="C27" s="27">
        <v>0</v>
      </c>
    </row>
    <row r="28" spans="1:3" ht="12.75" hidden="1">
      <c r="A28" s="32" t="s">
        <v>166</v>
      </c>
      <c r="B28" s="36">
        <f>'seal-mfg'!Q22*$D$5</f>
        <v>0</v>
      </c>
      <c r="C28" s="27">
        <v>0</v>
      </c>
    </row>
    <row r="29" spans="1:3" ht="12.75" hidden="1">
      <c r="A29" s="32" t="s">
        <v>167</v>
      </c>
      <c r="B29" s="36">
        <f>'seal-mfg'!Q23*$D$5</f>
        <v>0</v>
      </c>
      <c r="C29" s="27">
        <v>0</v>
      </c>
    </row>
    <row r="30" spans="1:3" ht="12.75">
      <c r="A30" s="32" t="s">
        <v>159</v>
      </c>
      <c r="B30" s="58">
        <f>'seal-mfg'!Q24*$D$5</f>
        <v>292.189</v>
      </c>
      <c r="C30" s="27">
        <v>241</v>
      </c>
    </row>
    <row r="31" spans="1:3" ht="12.75">
      <c r="A31" s="32"/>
      <c r="B31" s="87">
        <f>SUM(B23:B30)</f>
        <v>3097.2180000000003</v>
      </c>
      <c r="C31" s="87">
        <f>SUM(C23:C30)</f>
        <v>3489</v>
      </c>
    </row>
    <row r="32" spans="1:2" ht="12.75">
      <c r="A32" s="32" t="s">
        <v>14</v>
      </c>
      <c r="B32" s="19"/>
    </row>
    <row r="33" spans="1:3" ht="12.75">
      <c r="A33" s="32" t="s">
        <v>15</v>
      </c>
      <c r="B33" s="19">
        <f>'seal-mfg'!Q27*$D$5</f>
        <v>2706.684</v>
      </c>
      <c r="C33" s="88">
        <v>4032</v>
      </c>
    </row>
    <row r="34" spans="1:3" ht="12.75">
      <c r="A34" s="32" t="s">
        <v>49</v>
      </c>
      <c r="B34" s="19">
        <f>'seal-mfg'!Q28*$D$5</f>
        <v>35618.309</v>
      </c>
      <c r="C34" s="88">
        <f>32789+1066</f>
        <v>33855</v>
      </c>
    </row>
    <row r="35" spans="1:3" ht="12.75" hidden="1">
      <c r="A35" s="32" t="s">
        <v>160</v>
      </c>
      <c r="B35" s="19">
        <f>'seal-mfg'!Q29*$D$5</f>
        <v>0</v>
      </c>
      <c r="C35" s="1">
        <v>0</v>
      </c>
    </row>
    <row r="36" spans="1:3" ht="12.75" hidden="1">
      <c r="A36" s="32" t="s">
        <v>172</v>
      </c>
      <c r="B36" s="19">
        <f>'seal-mfg'!Q30*$D$5</f>
        <v>0</v>
      </c>
      <c r="C36" s="1">
        <v>0</v>
      </c>
    </row>
    <row r="37" spans="1:3" ht="12.75" hidden="1">
      <c r="A37" s="32" t="s">
        <v>173</v>
      </c>
      <c r="B37" s="19">
        <f>'seal-mfg'!Q31*$D$5</f>
        <v>0</v>
      </c>
      <c r="C37" s="1">
        <v>0</v>
      </c>
    </row>
    <row r="38" spans="1:3" ht="12.75" hidden="1">
      <c r="A38" s="32" t="s">
        <v>161</v>
      </c>
      <c r="B38" s="19">
        <f>'seal-mfg'!Q32*$D$5</f>
        <v>0</v>
      </c>
      <c r="C38" s="1">
        <v>0</v>
      </c>
    </row>
    <row r="39" spans="1:3" ht="12.75" hidden="1">
      <c r="A39" s="32" t="s">
        <v>168</v>
      </c>
      <c r="B39" s="19">
        <f>'seal-mfg'!Q33*$D$5</f>
        <v>0</v>
      </c>
      <c r="C39" s="1">
        <v>0</v>
      </c>
    </row>
    <row r="40" spans="1:3" ht="12.75" hidden="1">
      <c r="A40" s="32" t="s">
        <v>169</v>
      </c>
      <c r="B40" s="19">
        <f>'seal-mfg'!Q34*$D$5</f>
        <v>0</v>
      </c>
      <c r="C40" s="1">
        <v>0</v>
      </c>
    </row>
    <row r="41" spans="1:3" ht="12.75">
      <c r="A41" s="70" t="s">
        <v>16</v>
      </c>
      <c r="B41" s="19">
        <f>'seal-mfg'!Q35*$D$5</f>
        <v>1338.2160000000001</v>
      </c>
      <c r="C41" s="1">
        <v>1690</v>
      </c>
    </row>
    <row r="42" spans="1:3" ht="12.75">
      <c r="A42" s="70" t="s">
        <v>153</v>
      </c>
      <c r="B42" s="19">
        <f>'seal-mfg'!Q36*$D$5-1092</f>
        <v>91005.39</v>
      </c>
      <c r="C42" s="26">
        <v>54548</v>
      </c>
    </row>
    <row r="43" spans="1:3" ht="12.75">
      <c r="A43" s="70" t="s">
        <v>51</v>
      </c>
      <c r="B43" s="19">
        <f>'seal-mfg'!Q37*$D$5</f>
        <v>10389.932</v>
      </c>
      <c r="C43" s="1">
        <v>10229</v>
      </c>
    </row>
    <row r="44" spans="1:3" ht="12.75" hidden="1">
      <c r="A44" s="70" t="s">
        <v>17</v>
      </c>
      <c r="B44" s="37">
        <f>'seal-mfg'!Q38*$D$5</f>
        <v>0</v>
      </c>
      <c r="C44" s="1">
        <v>0</v>
      </c>
    </row>
    <row r="45" spans="1:3" ht="12.75">
      <c r="A45" s="32"/>
      <c r="B45" s="2">
        <f>SUM(B33:B44)-1</f>
        <v>141057.53100000002</v>
      </c>
      <c r="C45" s="2">
        <f>SUM(C33:C44)</f>
        <v>104354</v>
      </c>
    </row>
    <row r="46" spans="1:3" ht="12.75">
      <c r="A46" s="32" t="s">
        <v>170</v>
      </c>
      <c r="B46" s="1">
        <f>+B31-B45-1</f>
        <v>-137961.31300000002</v>
      </c>
      <c r="C46" s="1">
        <f>+C31-C45</f>
        <v>-100865</v>
      </c>
    </row>
    <row r="47" spans="1:3" ht="12.75">
      <c r="A47" s="32"/>
      <c r="B47" s="19"/>
      <c r="C47" s="1"/>
    </row>
    <row r="48" spans="1:3" ht="12.75">
      <c r="A48" s="32" t="s">
        <v>154</v>
      </c>
      <c r="B48" s="19"/>
      <c r="C48" s="1"/>
    </row>
    <row r="49" spans="1:3" ht="12.75">
      <c r="A49" s="32" t="s">
        <v>153</v>
      </c>
      <c r="B49" s="19">
        <v>-1092</v>
      </c>
      <c r="C49" s="1">
        <v>-36544</v>
      </c>
    </row>
    <row r="50" spans="1:3" ht="13.5" thickBot="1">
      <c r="A50" s="32"/>
      <c r="B50" s="15">
        <f>+B21+B46+B49+1</f>
        <v>42913.24399999998</v>
      </c>
      <c r="C50" s="15">
        <f>+C21+C46+C49</f>
        <v>47887</v>
      </c>
    </row>
    <row r="51" spans="1:2" ht="13.5" thickTop="1">
      <c r="A51" s="32" t="s">
        <v>155</v>
      </c>
      <c r="B51" s="19"/>
    </row>
    <row r="52" spans="1:2" ht="12.75">
      <c r="A52" s="32" t="s">
        <v>162</v>
      </c>
      <c r="B52" s="19"/>
    </row>
    <row r="53" spans="1:3" ht="12.75">
      <c r="A53" s="32" t="s">
        <v>163</v>
      </c>
      <c r="B53" s="19">
        <f>'seal-mfg'!Q47*$D$5</f>
        <v>112145.732</v>
      </c>
      <c r="C53" s="1">
        <v>112146</v>
      </c>
    </row>
    <row r="54" spans="1:3" ht="12.75">
      <c r="A54" s="32" t="s">
        <v>164</v>
      </c>
      <c r="B54" s="19">
        <f>'seal-mfg'!Q48*$D$5</f>
        <v>249797.108</v>
      </c>
      <c r="C54" s="1">
        <v>249797</v>
      </c>
    </row>
    <row r="55" spans="1:3" ht="12.75">
      <c r="A55" s="32" t="s">
        <v>156</v>
      </c>
      <c r="B55" s="19">
        <f>'seal-mfg'!Q49*$D$5</f>
        <v>307.158</v>
      </c>
      <c r="C55" s="1">
        <v>291</v>
      </c>
    </row>
    <row r="56" spans="1:3" ht="12.75">
      <c r="A56" s="32" t="s">
        <v>157</v>
      </c>
      <c r="B56" s="37">
        <f>'seal-mfg'!Q50*$D$5</f>
        <v>-322689.941</v>
      </c>
      <c r="C56" s="6">
        <v>-318059</v>
      </c>
    </row>
    <row r="57" spans="1:3" ht="12.75" hidden="1">
      <c r="A57" s="32" t="s">
        <v>184</v>
      </c>
      <c r="B57" s="19">
        <f>'seal-mfg'!Q51*$D$5</f>
        <v>0</v>
      </c>
      <c r="C57" s="1">
        <v>0</v>
      </c>
    </row>
    <row r="58" spans="1:3" ht="12.75" hidden="1">
      <c r="A58" s="32" t="s">
        <v>202</v>
      </c>
      <c r="B58" s="37">
        <f>'seal-mfg'!Q52*$D$5</f>
        <v>0</v>
      </c>
      <c r="C58" s="6">
        <v>0</v>
      </c>
    </row>
    <row r="59" spans="1:3" ht="12.75">
      <c r="A59" s="32"/>
      <c r="B59" s="1">
        <f>SUM(B53:B58)</f>
        <v>39560.05700000003</v>
      </c>
      <c r="C59" s="1">
        <f>SUM(C53:C58)</f>
        <v>44175</v>
      </c>
    </row>
    <row r="60" spans="1:3" ht="12.75">
      <c r="A60" s="32" t="s">
        <v>11</v>
      </c>
      <c r="B60" s="37">
        <f>'seal-mfg'!Q54*$D$5</f>
        <v>3353.187</v>
      </c>
      <c r="C60" s="1">
        <v>3712</v>
      </c>
    </row>
    <row r="61" spans="1:3" ht="13.5" thickBot="1">
      <c r="A61" s="32"/>
      <c r="B61" s="15">
        <f>+B59+B60</f>
        <v>42913.24400000003</v>
      </c>
      <c r="C61" s="15">
        <f>+C59+C60</f>
        <v>47887</v>
      </c>
    </row>
    <row r="62" ht="13.5" thickTop="1"/>
    <row r="63" spans="1:3" ht="12.75">
      <c r="A63" t="s">
        <v>248</v>
      </c>
      <c r="B63" s="27">
        <f>ROUND(B59/B53,2)*100</f>
        <v>35</v>
      </c>
      <c r="C63" s="27">
        <f>ROUND(C59/C53,2)*100</f>
        <v>39</v>
      </c>
    </row>
  </sheetData>
  <printOptions horizontalCentered="1"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6"/>
  <sheetViews>
    <sheetView tabSelected="1" workbookViewId="0" topLeftCell="A121">
      <selection activeCell="E134" sqref="E134"/>
    </sheetView>
  </sheetViews>
  <sheetFormatPr defaultColWidth="9.140625" defaultRowHeight="12.75"/>
  <cols>
    <col min="1" max="1" width="7.8515625" style="0" customWidth="1"/>
    <col min="2" max="2" width="10.421875" style="0" customWidth="1"/>
    <col min="4" max="4" width="8.8515625" style="0" customWidth="1"/>
    <col min="5" max="5" width="10.57421875" style="0" customWidth="1"/>
    <col min="6" max="6" width="12.8515625" style="0" customWidth="1"/>
    <col min="7" max="7" width="10.28125" style="0" customWidth="1"/>
    <col min="8" max="8" width="14.00390625" style="0" customWidth="1"/>
    <col min="9" max="9" width="12.7109375" style="0" customWidth="1"/>
  </cols>
  <sheetData>
    <row r="1" ht="12.75">
      <c r="A1" s="60" t="s">
        <v>72</v>
      </c>
    </row>
    <row r="3" ht="12.75">
      <c r="A3" t="s">
        <v>109</v>
      </c>
    </row>
    <row r="4" ht="12.75">
      <c r="A4" t="s">
        <v>110</v>
      </c>
    </row>
    <row r="5" ht="12.75">
      <c r="A5" t="s">
        <v>390</v>
      </c>
    </row>
    <row r="7" ht="12.75">
      <c r="A7" s="42" t="s">
        <v>111</v>
      </c>
    </row>
    <row r="8" spans="1:2" ht="12.75">
      <c r="A8" s="30">
        <v>1</v>
      </c>
      <c r="B8" s="60" t="s">
        <v>112</v>
      </c>
    </row>
    <row r="9" spans="2:9" ht="12.75">
      <c r="B9" s="43" t="s">
        <v>341</v>
      </c>
      <c r="C9" s="43"/>
      <c r="D9" s="43"/>
      <c r="E9" s="43"/>
      <c r="F9" s="43"/>
      <c r="G9" s="43"/>
      <c r="H9" s="43"/>
      <c r="I9" s="43"/>
    </row>
    <row r="10" spans="2:9" ht="12.75">
      <c r="B10" s="43" t="s">
        <v>402</v>
      </c>
      <c r="C10" s="43"/>
      <c r="D10" s="43"/>
      <c r="E10" s="43"/>
      <c r="F10" s="43"/>
      <c r="G10" s="43"/>
      <c r="H10" s="43"/>
      <c r="I10" s="43"/>
    </row>
    <row r="11" spans="2:9" ht="12.75">
      <c r="B11" s="31">
        <v>2001</v>
      </c>
      <c r="C11" s="43"/>
      <c r="D11" s="43"/>
      <c r="E11" s="43"/>
      <c r="F11" s="43"/>
      <c r="G11" s="43"/>
      <c r="H11" s="43"/>
      <c r="I11" s="43"/>
    </row>
    <row r="12" spans="2:9" ht="12.75">
      <c r="B12" s="69"/>
      <c r="C12" s="43"/>
      <c r="D12" s="43"/>
      <c r="E12" s="43"/>
      <c r="F12" s="43"/>
      <c r="G12" s="43"/>
      <c r="H12" s="43"/>
      <c r="I12" s="43"/>
    </row>
    <row r="13" spans="1:2" ht="12.75">
      <c r="A13">
        <v>2</v>
      </c>
      <c r="B13" s="60" t="s">
        <v>113</v>
      </c>
    </row>
    <row r="14" ht="12.75">
      <c r="B14" t="s">
        <v>403</v>
      </c>
    </row>
    <row r="16" spans="1:2" ht="12.75">
      <c r="A16">
        <v>3</v>
      </c>
      <c r="B16" s="60" t="s">
        <v>256</v>
      </c>
    </row>
    <row r="17" ht="12.75">
      <c r="B17" t="s">
        <v>404</v>
      </c>
    </row>
    <row r="19" spans="1:2" ht="12.75">
      <c r="A19">
        <v>4</v>
      </c>
      <c r="B19" s="60" t="s">
        <v>114</v>
      </c>
    </row>
    <row r="20" ht="12.75">
      <c r="B20" t="s">
        <v>343</v>
      </c>
    </row>
    <row r="21" ht="12.75">
      <c r="B21" t="s">
        <v>342</v>
      </c>
    </row>
    <row r="23" spans="1:2" ht="12.75">
      <c r="A23">
        <v>5</v>
      </c>
      <c r="B23" s="60" t="s">
        <v>314</v>
      </c>
    </row>
    <row r="24" ht="12.75">
      <c r="B24" t="s">
        <v>315</v>
      </c>
    </row>
    <row r="26" spans="1:2" ht="12.75">
      <c r="A26">
        <v>6</v>
      </c>
      <c r="B26" s="60" t="s">
        <v>115</v>
      </c>
    </row>
    <row r="27" ht="12.75">
      <c r="B27" t="s">
        <v>339</v>
      </c>
    </row>
    <row r="28" ht="12.75">
      <c r="B28" t="s">
        <v>338</v>
      </c>
    </row>
    <row r="29" ht="12.75">
      <c r="G29" s="25" t="s">
        <v>10</v>
      </c>
    </row>
    <row r="30" spans="2:7" ht="12.75">
      <c r="B30" s="30" t="s">
        <v>116</v>
      </c>
      <c r="D30" s="31" t="s">
        <v>117</v>
      </c>
      <c r="E30" s="30"/>
      <c r="G30" s="90">
        <v>4000</v>
      </c>
    </row>
    <row r="31" spans="2:7" ht="12.75">
      <c r="B31" s="30" t="s">
        <v>118</v>
      </c>
      <c r="D31" s="31" t="s">
        <v>119</v>
      </c>
      <c r="G31" s="90">
        <v>4000</v>
      </c>
    </row>
    <row r="32" spans="2:7" ht="12.75">
      <c r="B32" s="30" t="s">
        <v>120</v>
      </c>
      <c r="D32" s="31" t="s">
        <v>121</v>
      </c>
      <c r="G32" s="90">
        <v>35464</v>
      </c>
    </row>
    <row r="34" spans="1:2" ht="12.75">
      <c r="A34">
        <v>7</v>
      </c>
      <c r="B34" s="61" t="s">
        <v>122</v>
      </c>
    </row>
    <row r="35" ht="12.75">
      <c r="B35" s="31" t="s">
        <v>405</v>
      </c>
    </row>
    <row r="36" ht="12.75">
      <c r="B36" s="31" t="s">
        <v>406</v>
      </c>
    </row>
    <row r="37" ht="12.75">
      <c r="B37" s="31" t="s">
        <v>407</v>
      </c>
    </row>
    <row r="39" spans="1:2" ht="12.75">
      <c r="A39">
        <v>8</v>
      </c>
      <c r="B39" s="60" t="s">
        <v>123</v>
      </c>
    </row>
    <row r="40" ht="12.75">
      <c r="B40" s="60"/>
    </row>
    <row r="41" spans="2:4" ht="12.75">
      <c r="B41" s="127" t="s">
        <v>296</v>
      </c>
      <c r="C41" s="60"/>
      <c r="D41" s="60"/>
    </row>
    <row r="42" spans="2:9" ht="12.75">
      <c r="B42" s="31" t="s">
        <v>414</v>
      </c>
      <c r="C42" s="31"/>
      <c r="D42" s="31"/>
      <c r="E42" s="31"/>
      <c r="F42" s="31"/>
      <c r="G42" s="31"/>
      <c r="H42" s="31"/>
      <c r="I42" s="31"/>
    </row>
    <row r="43" spans="2:9" ht="12.75">
      <c r="B43" s="31" t="s">
        <v>412</v>
      </c>
      <c r="C43" s="31"/>
      <c r="D43" s="31"/>
      <c r="E43" s="31"/>
      <c r="F43" s="31"/>
      <c r="G43" s="31"/>
      <c r="H43" s="31"/>
      <c r="I43" s="31"/>
    </row>
    <row r="44" spans="2:9" ht="12.75">
      <c r="B44" s="31" t="s">
        <v>415</v>
      </c>
      <c r="C44" s="31"/>
      <c r="D44" s="31"/>
      <c r="E44" s="31"/>
      <c r="F44" s="31"/>
      <c r="G44" s="31"/>
      <c r="H44" s="31"/>
      <c r="I44" s="31" t="s">
        <v>344</v>
      </c>
    </row>
    <row r="45" spans="2:9" ht="12.75">
      <c r="B45" s="31" t="s">
        <v>416</v>
      </c>
      <c r="C45" s="31"/>
      <c r="D45" s="31"/>
      <c r="E45" s="31"/>
      <c r="F45" s="31"/>
      <c r="G45" s="31"/>
      <c r="H45" s="31"/>
      <c r="I45" s="31"/>
    </row>
    <row r="46" spans="2:9" ht="12.75">
      <c r="B46" s="31"/>
      <c r="C46" s="31"/>
      <c r="D46" s="31"/>
      <c r="E46" s="31"/>
      <c r="F46" s="31"/>
      <c r="G46" s="31"/>
      <c r="H46" s="31"/>
      <c r="I46" s="31"/>
    </row>
    <row r="47" spans="2:9" ht="12.75">
      <c r="B47" s="127" t="s">
        <v>297</v>
      </c>
      <c r="C47" s="31"/>
      <c r="D47" s="31"/>
      <c r="E47" s="31"/>
      <c r="F47" s="31"/>
      <c r="G47" s="31"/>
      <c r="H47" s="31"/>
      <c r="I47" s="31"/>
    </row>
    <row r="48" spans="2:9" ht="12.75">
      <c r="B48" s="127"/>
      <c r="C48" s="31"/>
      <c r="D48" s="31"/>
      <c r="E48" s="31"/>
      <c r="F48" s="31"/>
      <c r="G48" s="31"/>
      <c r="H48" s="31"/>
      <c r="I48" s="31"/>
    </row>
    <row r="49" spans="2:9" ht="12.75">
      <c r="B49" s="128" t="s">
        <v>418</v>
      </c>
      <c r="C49" s="31"/>
      <c r="D49" s="31"/>
      <c r="E49" s="31"/>
      <c r="F49" s="31"/>
      <c r="G49" s="31"/>
      <c r="H49" s="31"/>
      <c r="I49" s="31"/>
    </row>
    <row r="50" spans="2:9" s="42" customFormat="1" ht="12.75">
      <c r="B50" s="128" t="s">
        <v>419</v>
      </c>
      <c r="C50" s="128"/>
      <c r="D50" s="229"/>
      <c r="E50" s="229"/>
      <c r="F50" s="229"/>
      <c r="G50" s="229"/>
      <c r="H50" s="229"/>
      <c r="I50" s="229"/>
    </row>
    <row r="51" spans="2:9" ht="12.75">
      <c r="B51" s="128" t="s">
        <v>420</v>
      </c>
      <c r="C51" s="31"/>
      <c r="D51" s="31"/>
      <c r="E51" s="31"/>
      <c r="F51" s="31"/>
      <c r="G51" s="31"/>
      <c r="H51" s="31"/>
      <c r="I51" s="31"/>
    </row>
    <row r="52" spans="2:9" ht="12.75">
      <c r="B52" s="128" t="s">
        <v>421</v>
      </c>
      <c r="C52" s="31"/>
      <c r="D52" s="31"/>
      <c r="E52" s="31"/>
      <c r="F52" s="31"/>
      <c r="G52" s="31"/>
      <c r="H52" s="31"/>
      <c r="I52" s="31"/>
    </row>
    <row r="53" spans="2:9" ht="12.75">
      <c r="B53" s="128" t="s">
        <v>422</v>
      </c>
      <c r="C53" s="31"/>
      <c r="D53" s="31"/>
      <c r="E53" s="31"/>
      <c r="F53" s="31"/>
      <c r="G53" s="31"/>
      <c r="H53" s="31"/>
      <c r="I53" s="31"/>
    </row>
    <row r="54" spans="1:9" ht="12.75">
      <c r="A54" t="s">
        <v>344</v>
      </c>
      <c r="B54" s="128" t="s">
        <v>423</v>
      </c>
      <c r="C54" s="31"/>
      <c r="D54" s="31"/>
      <c r="E54" s="31"/>
      <c r="F54" s="31"/>
      <c r="G54" s="31"/>
      <c r="H54" s="31"/>
      <c r="I54" s="31"/>
    </row>
    <row r="55" spans="2:9" ht="12.75">
      <c r="B55" s="127"/>
      <c r="C55" s="31"/>
      <c r="D55" s="31"/>
      <c r="E55" s="31"/>
      <c r="F55" s="31"/>
      <c r="G55" s="31"/>
      <c r="H55" s="31"/>
      <c r="I55" s="31"/>
    </row>
    <row r="56" spans="1:2" ht="12.75">
      <c r="A56">
        <v>9</v>
      </c>
      <c r="B56" s="60" t="s">
        <v>350</v>
      </c>
    </row>
    <row r="57" ht="12.75">
      <c r="B57" s="60" t="s">
        <v>352</v>
      </c>
    </row>
    <row r="58" ht="12.75">
      <c r="B58" s="60" t="s">
        <v>351</v>
      </c>
    </row>
    <row r="59" ht="12.75">
      <c r="B59" t="s">
        <v>124</v>
      </c>
    </row>
    <row r="61" spans="1:2" ht="12.75">
      <c r="A61">
        <v>10</v>
      </c>
      <c r="B61" s="60" t="s">
        <v>125</v>
      </c>
    </row>
    <row r="62" ht="12.75">
      <c r="B62" t="s">
        <v>126</v>
      </c>
    </row>
    <row r="64" spans="7:9" ht="12.75">
      <c r="G64" s="11" t="s">
        <v>127</v>
      </c>
      <c r="H64" s="11" t="s">
        <v>128</v>
      </c>
      <c r="I64" s="11" t="s">
        <v>6</v>
      </c>
    </row>
    <row r="65" spans="7:9" ht="12.75">
      <c r="G65" s="30" t="s">
        <v>81</v>
      </c>
      <c r="H65" s="30" t="s">
        <v>81</v>
      </c>
      <c r="I65" s="30" t="s">
        <v>81</v>
      </c>
    </row>
    <row r="66" spans="7:9" ht="12.75">
      <c r="G66" s="11"/>
      <c r="H66" s="11"/>
      <c r="I66" s="11"/>
    </row>
    <row r="67" spans="2:9" ht="12.75">
      <c r="B67" t="s">
        <v>129</v>
      </c>
      <c r="G67" s="66">
        <v>3079</v>
      </c>
      <c r="H67" s="66">
        <v>7311</v>
      </c>
      <c r="I67" s="90">
        <f>+G67+H67</f>
        <v>10390</v>
      </c>
    </row>
    <row r="68" spans="2:9" ht="12.75">
      <c r="B68" t="s">
        <v>249</v>
      </c>
      <c r="G68" s="66">
        <v>313</v>
      </c>
      <c r="H68" s="66">
        <v>37672</v>
      </c>
      <c r="I68" s="90">
        <f>+G68+H68</f>
        <v>37985</v>
      </c>
    </row>
    <row r="69" spans="2:9" ht="12.75">
      <c r="B69" t="s">
        <v>250</v>
      </c>
      <c r="G69" s="66">
        <v>0</v>
      </c>
      <c r="H69" s="66">
        <v>1092</v>
      </c>
      <c r="I69" s="90">
        <f>+G69+H69</f>
        <v>1092</v>
      </c>
    </row>
    <row r="70" spans="2:9" ht="12.75">
      <c r="B70" t="s">
        <v>130</v>
      </c>
      <c r="G70" s="66">
        <v>500</v>
      </c>
      <c r="H70" s="66">
        <v>52520</v>
      </c>
      <c r="I70" s="90">
        <f>+G70+H70</f>
        <v>53020</v>
      </c>
    </row>
    <row r="71" spans="7:9" ht="13.5" thickBot="1">
      <c r="G71" s="67">
        <f>SUM(G67:G70)</f>
        <v>3892</v>
      </c>
      <c r="H71" s="67">
        <f>SUM(H67:H70)</f>
        <v>98595</v>
      </c>
      <c r="I71" s="91">
        <f>SUM(I67:I70)</f>
        <v>102487</v>
      </c>
    </row>
    <row r="72" ht="13.5" thickTop="1"/>
    <row r="73" spans="1:2" ht="12.75">
      <c r="A73">
        <v>11</v>
      </c>
      <c r="B73" s="60" t="s">
        <v>131</v>
      </c>
    </row>
    <row r="74" ht="12.75">
      <c r="B74" s="60" t="s">
        <v>257</v>
      </c>
    </row>
    <row r="75" ht="12.75">
      <c r="I75" s="30" t="s">
        <v>81</v>
      </c>
    </row>
    <row r="76" spans="2:9" ht="12.75">
      <c r="B76" t="s">
        <v>258</v>
      </c>
      <c r="I76" s="94">
        <v>12263</v>
      </c>
    </row>
    <row r="77" ht="12.75">
      <c r="I77" s="94"/>
    </row>
    <row r="78" spans="2:9" ht="12.75">
      <c r="B78" t="s">
        <v>408</v>
      </c>
      <c r="I78" s="94"/>
    </row>
    <row r="79" ht="12.75">
      <c r="I79" s="94"/>
    </row>
    <row r="80" spans="2:9" ht="12.75">
      <c r="B80" s="60" t="s">
        <v>397</v>
      </c>
      <c r="I80" s="92"/>
    </row>
    <row r="81" spans="2:9" ht="12.75">
      <c r="B81" t="s">
        <v>354</v>
      </c>
      <c r="I81" s="92"/>
    </row>
    <row r="82" spans="2:9" ht="12.75">
      <c r="B82" t="s">
        <v>398</v>
      </c>
      <c r="I82" s="92"/>
    </row>
    <row r="83" ht="12.75">
      <c r="B83" t="s">
        <v>355</v>
      </c>
    </row>
    <row r="84" ht="12.75">
      <c r="B84" t="s">
        <v>356</v>
      </c>
    </row>
    <row r="85" ht="12.75">
      <c r="B85" t="s">
        <v>357</v>
      </c>
    </row>
    <row r="86" ht="12.75">
      <c r="B86" t="s">
        <v>353</v>
      </c>
    </row>
    <row r="87" ht="12.75">
      <c r="B87" t="s">
        <v>259</v>
      </c>
    </row>
    <row r="89" spans="1:2" ht="12.75">
      <c r="A89">
        <v>12</v>
      </c>
      <c r="B89" s="60" t="s">
        <v>132</v>
      </c>
    </row>
    <row r="90" ht="12.75">
      <c r="B90" t="s">
        <v>133</v>
      </c>
    </row>
    <row r="92" spans="1:2" ht="12.75">
      <c r="A92">
        <v>13</v>
      </c>
      <c r="B92" s="60" t="s">
        <v>134</v>
      </c>
    </row>
    <row r="93" ht="12.75">
      <c r="B93" t="s">
        <v>262</v>
      </c>
    </row>
    <row r="94" ht="12.75">
      <c r="B94" t="s">
        <v>263</v>
      </c>
    </row>
    <row r="96" ht="12.75">
      <c r="B96" s="60" t="s">
        <v>264</v>
      </c>
    </row>
    <row r="97" ht="12.75">
      <c r="B97" t="s">
        <v>325</v>
      </c>
    </row>
    <row r="98" ht="12.75">
      <c r="B98" t="s">
        <v>345</v>
      </c>
    </row>
    <row r="100" ht="12.75">
      <c r="B100" t="s">
        <v>265</v>
      </c>
    </row>
    <row r="101" ht="12.75">
      <c r="B101" t="s">
        <v>301</v>
      </c>
    </row>
    <row r="102" ht="12.75">
      <c r="B102" t="s">
        <v>413</v>
      </c>
    </row>
    <row r="103" ht="12.75">
      <c r="A103" s="30"/>
    </row>
    <row r="104" spans="2:9" ht="12.75">
      <c r="B104" s="61" t="s">
        <v>328</v>
      </c>
      <c r="C104" s="31"/>
      <c r="D104" s="31"/>
      <c r="E104" s="31"/>
      <c r="F104" s="31"/>
      <c r="G104" s="31"/>
      <c r="H104" s="31"/>
      <c r="I104" s="31"/>
    </row>
    <row r="105" spans="2:9" ht="12.75">
      <c r="B105" s="61" t="s">
        <v>329</v>
      </c>
      <c r="C105" s="31"/>
      <c r="D105" s="31"/>
      <c r="E105" s="31"/>
      <c r="F105" s="31"/>
      <c r="G105" s="31"/>
      <c r="H105" s="31"/>
      <c r="I105" s="31"/>
    </row>
    <row r="106" spans="2:9" ht="12.75">
      <c r="B106" t="s">
        <v>330</v>
      </c>
      <c r="I106" s="31"/>
    </row>
    <row r="107" spans="2:9" ht="12.75">
      <c r="B107" t="s">
        <v>346</v>
      </c>
      <c r="I107" s="31"/>
    </row>
    <row r="108" spans="2:9" ht="12.75">
      <c r="B108" t="s">
        <v>331</v>
      </c>
      <c r="I108" s="31"/>
    </row>
    <row r="109" spans="2:9" ht="12.75">
      <c r="B109" t="s">
        <v>332</v>
      </c>
      <c r="I109" s="31"/>
    </row>
    <row r="110" spans="2:9" ht="12.75">
      <c r="B110" t="s">
        <v>333</v>
      </c>
      <c r="I110" s="31"/>
    </row>
    <row r="111" ht="12.75">
      <c r="B111" t="s">
        <v>334</v>
      </c>
    </row>
    <row r="113" spans="2:9" ht="12.75">
      <c r="B113" s="31" t="s">
        <v>335</v>
      </c>
      <c r="C113" s="31"/>
      <c r="D113" s="31"/>
      <c r="E113" s="31"/>
      <c r="F113" s="31"/>
      <c r="G113" s="31"/>
      <c r="H113" s="31"/>
      <c r="I113" s="32"/>
    </row>
    <row r="114" spans="2:9" ht="12.75">
      <c r="B114" s="31" t="s">
        <v>336</v>
      </c>
      <c r="C114" s="31"/>
      <c r="D114" s="31"/>
      <c r="E114" s="31"/>
      <c r="F114" s="31"/>
      <c r="G114" s="31"/>
      <c r="H114" s="31"/>
      <c r="I114" s="32"/>
    </row>
    <row r="115" spans="2:9" ht="12.75">
      <c r="B115" s="31" t="s">
        <v>347</v>
      </c>
      <c r="C115" s="31"/>
      <c r="D115" s="31"/>
      <c r="E115" s="31"/>
      <c r="F115" s="31"/>
      <c r="G115" s="31"/>
      <c r="H115" s="31"/>
      <c r="I115" s="32"/>
    </row>
    <row r="116" spans="2:9" ht="12.75">
      <c r="B116" s="31" t="s">
        <v>358</v>
      </c>
      <c r="C116" s="31"/>
      <c r="D116" s="31"/>
      <c r="E116" s="31"/>
      <c r="F116" s="31"/>
      <c r="G116" s="31"/>
      <c r="H116" s="31"/>
      <c r="I116" s="32"/>
    </row>
    <row r="117" spans="2:9" ht="12.75">
      <c r="B117" s="31"/>
      <c r="C117" s="31"/>
      <c r="D117" s="31"/>
      <c r="E117" s="31"/>
      <c r="F117" s="31"/>
      <c r="G117" s="31"/>
      <c r="H117" s="31"/>
      <c r="I117" s="32"/>
    </row>
    <row r="118" ht="12.75">
      <c r="B118" s="61" t="s">
        <v>337</v>
      </c>
    </row>
    <row r="119" ht="12.75">
      <c r="B119" s="61" t="s">
        <v>329</v>
      </c>
    </row>
    <row r="120" spans="2:9" ht="12.75">
      <c r="B120" t="s">
        <v>349</v>
      </c>
      <c r="I120" s="31"/>
    </row>
    <row r="121" spans="2:9" ht="12.75">
      <c r="B121" t="s">
        <v>348</v>
      </c>
      <c r="I121" s="31"/>
    </row>
    <row r="122" spans="2:9" ht="12.75">
      <c r="B122" t="s">
        <v>331</v>
      </c>
      <c r="I122" s="31"/>
    </row>
    <row r="123" spans="2:9" ht="12.75">
      <c r="B123" t="s">
        <v>340</v>
      </c>
      <c r="I123" s="31"/>
    </row>
    <row r="124" spans="2:9" ht="12.75">
      <c r="B124" t="s">
        <v>333</v>
      </c>
      <c r="I124" s="31"/>
    </row>
    <row r="125" ht="12.75">
      <c r="B125" t="s">
        <v>334</v>
      </c>
    </row>
    <row r="127" spans="2:8" ht="12.75">
      <c r="B127" s="128" t="s">
        <v>377</v>
      </c>
      <c r="C127" s="32"/>
      <c r="D127" s="32"/>
      <c r="E127" s="32"/>
      <c r="F127" s="32"/>
      <c r="G127" s="32"/>
      <c r="H127" s="32"/>
    </row>
    <row r="128" spans="2:8" ht="12.75">
      <c r="B128" s="128" t="s">
        <v>376</v>
      </c>
      <c r="C128" s="32"/>
      <c r="D128" s="32"/>
      <c r="E128" s="32"/>
      <c r="F128" s="32"/>
      <c r="G128" s="32"/>
      <c r="H128" s="32"/>
    </row>
    <row r="129" spans="2:8" ht="12.75">
      <c r="B129" s="128" t="s">
        <v>424</v>
      </c>
      <c r="C129" s="32"/>
      <c r="D129" s="32"/>
      <c r="E129" s="32"/>
      <c r="F129" s="32"/>
      <c r="G129" s="32"/>
      <c r="H129" s="32"/>
    </row>
    <row r="130" spans="2:8" ht="12.75">
      <c r="B130" s="128" t="s">
        <v>370</v>
      </c>
      <c r="C130" s="32"/>
      <c r="D130" s="32"/>
      <c r="E130" s="32"/>
      <c r="F130" s="32"/>
      <c r="G130" s="32"/>
      <c r="H130" s="32"/>
    </row>
    <row r="131" spans="2:8" ht="12.75">
      <c r="B131" s="128"/>
      <c r="C131" s="32"/>
      <c r="D131" s="32"/>
      <c r="E131" s="32"/>
      <c r="F131" s="32"/>
      <c r="G131" s="32"/>
      <c r="H131" s="32"/>
    </row>
    <row r="132" ht="12.75">
      <c r="B132" s="61" t="s">
        <v>327</v>
      </c>
    </row>
    <row r="133" ht="12.75">
      <c r="B133" s="31" t="s">
        <v>378</v>
      </c>
    </row>
    <row r="134" ht="12.75">
      <c r="B134" s="31" t="s">
        <v>379</v>
      </c>
    </row>
    <row r="135" ht="12.75">
      <c r="B135" s="31" t="s">
        <v>326</v>
      </c>
    </row>
    <row r="137" ht="12.75">
      <c r="B137" s="31" t="s">
        <v>392</v>
      </c>
    </row>
    <row r="138" ht="12.75">
      <c r="B138" s="31" t="s">
        <v>399</v>
      </c>
    </row>
    <row r="139" ht="12.75">
      <c r="B139" s="31" t="s">
        <v>425</v>
      </c>
    </row>
    <row r="140" ht="12.75">
      <c r="B140" s="31"/>
    </row>
    <row r="141" spans="1:2" ht="12.75">
      <c r="A141">
        <v>14</v>
      </c>
      <c r="B141" s="60" t="s">
        <v>135</v>
      </c>
    </row>
    <row r="142" ht="12.75">
      <c r="B142" s="60"/>
    </row>
    <row r="143" ht="12.75">
      <c r="H143" s="11" t="s">
        <v>136</v>
      </c>
    </row>
    <row r="144" ht="12.75">
      <c r="H144" s="11" t="s">
        <v>137</v>
      </c>
    </row>
    <row r="145" ht="12.75">
      <c r="H145" s="11" t="s">
        <v>138</v>
      </c>
    </row>
    <row r="146" spans="7:9" ht="12.75">
      <c r="G146" s="11" t="s">
        <v>83</v>
      </c>
      <c r="H146" s="11" t="s">
        <v>95</v>
      </c>
      <c r="I146" s="11" t="s">
        <v>139</v>
      </c>
    </row>
    <row r="147" spans="7:9" ht="12.75">
      <c r="G147" s="11" t="s">
        <v>81</v>
      </c>
      <c r="H147" s="11" t="s">
        <v>81</v>
      </c>
      <c r="I147" s="11" t="s">
        <v>81</v>
      </c>
    </row>
    <row r="148" spans="2:9" ht="12.75">
      <c r="B148" t="s">
        <v>140</v>
      </c>
      <c r="G148" s="90">
        <v>8817</v>
      </c>
      <c r="H148" s="66">
        <v>-3912</v>
      </c>
      <c r="I148" s="66">
        <v>117369</v>
      </c>
    </row>
    <row r="149" spans="2:9" ht="12.75">
      <c r="B149" t="s">
        <v>141</v>
      </c>
      <c r="G149" s="90">
        <v>7</v>
      </c>
      <c r="H149" s="66">
        <v>-1070</v>
      </c>
      <c r="I149" s="66">
        <v>12567</v>
      </c>
    </row>
    <row r="150" spans="2:9" ht="12.75">
      <c r="B150" t="s">
        <v>142</v>
      </c>
      <c r="G150" s="90">
        <v>0</v>
      </c>
      <c r="H150" s="66">
        <v>0</v>
      </c>
      <c r="I150" s="66">
        <v>55127</v>
      </c>
    </row>
    <row r="151" spans="7:9" ht="13.5" thickBot="1">
      <c r="G151" s="91">
        <f>+G148+G149</f>
        <v>8824</v>
      </c>
      <c r="H151" s="67">
        <f>+H148+H149</f>
        <v>-4982</v>
      </c>
      <c r="I151" s="67">
        <f>+I148+I149+I150</f>
        <v>185063</v>
      </c>
    </row>
    <row r="152" spans="7:9" ht="13.5" thickTop="1">
      <c r="G152" s="204"/>
      <c r="H152" s="205"/>
      <c r="I152" s="205"/>
    </row>
    <row r="153" spans="1:9" ht="12.75">
      <c r="A153" t="s">
        <v>344</v>
      </c>
      <c r="B153" t="s">
        <v>401</v>
      </c>
      <c r="G153" s="204"/>
      <c r="H153" s="205"/>
      <c r="I153" s="205"/>
    </row>
    <row r="155" spans="1:10" ht="12.75">
      <c r="A155">
        <v>15</v>
      </c>
      <c r="B155" s="60" t="s">
        <v>251</v>
      </c>
      <c r="J155" s="32"/>
    </row>
    <row r="156" spans="2:10" ht="12.75">
      <c r="B156" s="43" t="s">
        <v>393</v>
      </c>
      <c r="J156" s="32"/>
    </row>
    <row r="157" spans="2:10" ht="12.75">
      <c r="B157" t="s">
        <v>395</v>
      </c>
      <c r="J157" s="32"/>
    </row>
    <row r="158" ht="12.75">
      <c r="B158" t="s">
        <v>394</v>
      </c>
    </row>
    <row r="159" ht="12.75">
      <c r="B159" t="s">
        <v>396</v>
      </c>
    </row>
    <row r="160" spans="2:9" ht="12.75">
      <c r="B160" t="s">
        <v>372</v>
      </c>
      <c r="I160" s="31"/>
    </row>
    <row r="161" spans="2:9" ht="12.75">
      <c r="B161" t="s">
        <v>371</v>
      </c>
      <c r="I161" s="31"/>
    </row>
    <row r="162" ht="12.75">
      <c r="I162" s="31"/>
    </row>
    <row r="163" spans="1:2" ht="12.75">
      <c r="A163">
        <v>16</v>
      </c>
      <c r="B163" s="60" t="s">
        <v>143</v>
      </c>
    </row>
    <row r="164" spans="2:8" ht="12.75">
      <c r="B164" s="31" t="s">
        <v>374</v>
      </c>
      <c r="C164" s="31"/>
      <c r="D164" s="31"/>
      <c r="E164" s="31"/>
      <c r="F164" s="31"/>
      <c r="G164" s="31"/>
      <c r="H164" s="31"/>
    </row>
    <row r="165" spans="2:8" ht="12.75">
      <c r="B165" s="31" t="s">
        <v>373</v>
      </c>
      <c r="C165" s="31"/>
      <c r="D165" s="31"/>
      <c r="E165" s="31"/>
      <c r="F165" s="31"/>
      <c r="G165" s="31"/>
      <c r="H165" s="31"/>
    </row>
    <row r="166" spans="2:9" ht="12.75">
      <c r="B166" s="31"/>
      <c r="C166" s="31"/>
      <c r="D166" s="31"/>
      <c r="E166" s="31"/>
      <c r="F166" s="31"/>
      <c r="G166" s="31"/>
      <c r="H166" s="31"/>
      <c r="I166" s="32"/>
    </row>
    <row r="167" spans="1:9" ht="12.75">
      <c r="A167">
        <v>17</v>
      </c>
      <c r="B167" s="61" t="s">
        <v>316</v>
      </c>
      <c r="C167" s="31"/>
      <c r="D167" s="31"/>
      <c r="E167" s="31"/>
      <c r="F167" s="31"/>
      <c r="G167" s="31"/>
      <c r="H167" s="31"/>
      <c r="I167" s="32"/>
    </row>
    <row r="168" spans="2:9" ht="12.75">
      <c r="B168" s="31" t="s">
        <v>400</v>
      </c>
      <c r="I168" s="32"/>
    </row>
    <row r="169" spans="2:9" ht="12.75">
      <c r="B169" s="31" t="s">
        <v>371</v>
      </c>
      <c r="I169" s="32"/>
    </row>
    <row r="171" spans="1:2" ht="12.75">
      <c r="A171">
        <v>18</v>
      </c>
      <c r="B171" s="61" t="s">
        <v>317</v>
      </c>
    </row>
    <row r="172" ht="12.75">
      <c r="B172" t="s">
        <v>318</v>
      </c>
    </row>
    <row r="174" spans="1:2" ht="12.75">
      <c r="A174">
        <v>19</v>
      </c>
      <c r="B174" s="60" t="s">
        <v>324</v>
      </c>
    </row>
    <row r="175" spans="2:8" ht="12.75">
      <c r="B175" s="32" t="s">
        <v>375</v>
      </c>
      <c r="C175" s="32"/>
      <c r="D175" s="32"/>
      <c r="E175" s="32"/>
      <c r="F175" s="32"/>
      <c r="G175" s="32"/>
      <c r="H175" s="32"/>
    </row>
    <row r="176" spans="2:8" ht="12.75">
      <c r="B176" s="32" t="s">
        <v>321</v>
      </c>
      <c r="C176" s="32"/>
      <c r="D176" s="32"/>
      <c r="E176" s="32"/>
      <c r="F176" s="32"/>
      <c r="G176" s="32"/>
      <c r="H176" s="32"/>
    </row>
    <row r="177" spans="2:8" ht="12.75">
      <c r="B177" s="32" t="s">
        <v>319</v>
      </c>
      <c r="C177" s="32"/>
      <c r="D177" s="32"/>
      <c r="E177" s="32"/>
      <c r="F177" s="32"/>
      <c r="G177" s="32"/>
      <c r="H177" s="32"/>
    </row>
    <row r="178" ht="12.75">
      <c r="B178" s="32" t="s">
        <v>322</v>
      </c>
    </row>
    <row r="179" ht="12.75">
      <c r="B179" s="32" t="s">
        <v>323</v>
      </c>
    </row>
    <row r="180" ht="12.75">
      <c r="B180" s="32" t="s">
        <v>320</v>
      </c>
    </row>
    <row r="182" spans="1:2" ht="12.75">
      <c r="A182">
        <v>20</v>
      </c>
      <c r="B182" s="60" t="s">
        <v>144</v>
      </c>
    </row>
    <row r="183" ht="12.75">
      <c r="B183" t="s">
        <v>409</v>
      </c>
    </row>
    <row r="185" spans="1:2" ht="12.75">
      <c r="A185">
        <v>21</v>
      </c>
      <c r="B185" s="60" t="s">
        <v>145</v>
      </c>
    </row>
    <row r="186" ht="12.75">
      <c r="B186" t="s">
        <v>417</v>
      </c>
    </row>
  </sheetData>
  <printOptions horizontalCentered="1"/>
  <pageMargins left="0.75" right="0.75" top="0.82" bottom="0.82" header="0.5" footer="0.5"/>
  <pageSetup fitToHeight="0" fitToWidth="3" horizontalDpi="360" verticalDpi="360" orientation="portrait" scale="85" r:id="rId1"/>
  <rowBreaks count="3" manualBreakCount="3">
    <brk id="60" max="8" man="1"/>
    <brk id="116" max="8" man="1"/>
    <brk id="1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Signet &amp; Co.</cp:lastModifiedBy>
  <cp:lastPrinted>2002-05-21T03:42:40Z</cp:lastPrinted>
  <dcterms:created xsi:type="dcterms:W3CDTF">1999-11-13T04:02:34Z</dcterms:created>
  <dcterms:modified xsi:type="dcterms:W3CDTF">2002-05-21T03:43:35Z</dcterms:modified>
  <cp:category/>
  <cp:version/>
  <cp:contentType/>
  <cp:contentStatus/>
</cp:coreProperties>
</file>