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75" windowWidth="12120" windowHeight="6930" tabRatio="633" activeTab="3"/>
  </bookViews>
  <sheets>
    <sheet name="BS" sheetId="1" r:id="rId1"/>
    <sheet name="PL" sheetId="2" r:id="rId2"/>
    <sheet name="SCE" sheetId="3" r:id="rId3"/>
    <sheet name="CF" sheetId="4" r:id="rId4"/>
  </sheets>
  <externalReferences>
    <externalReference r:id="rId7"/>
  </externalReferences>
  <definedNames>
    <definedName name="_xlnm.Print_Area" localSheetId="0">'BS'!$A$1:$G$67</definedName>
    <definedName name="_xlnm.Print_Area" localSheetId="3">'CF'!$A$1:$G$74</definedName>
    <definedName name="_xlnm.Print_Area" localSheetId="1">'PL'!$A$1:$J$66</definedName>
    <definedName name="_xlnm.Print_Area" localSheetId="2">'SCE'!$A$1:$R$52</definedName>
    <definedName name="_xlnm.Print_Titles" localSheetId="3">'CF'!$1:$12</definedName>
  </definedNames>
  <calcPr fullCalcOnLoad="1"/>
</workbook>
</file>

<file path=xl/sharedStrings.xml><?xml version="1.0" encoding="utf-8"?>
<sst xmlns="http://schemas.openxmlformats.org/spreadsheetml/2006/main" count="208" uniqueCount="167">
  <si>
    <t>Hire purchase and lease payables</t>
  </si>
  <si>
    <t>Minority interests</t>
  </si>
  <si>
    <t>Accumulated losses</t>
  </si>
  <si>
    <t>Reserves</t>
  </si>
  <si>
    <t>Share capital</t>
  </si>
  <si>
    <t>Payables</t>
  </si>
  <si>
    <t>Cash and bank balances</t>
  </si>
  <si>
    <t>Short term investments</t>
  </si>
  <si>
    <t>Receivables</t>
  </si>
  <si>
    <t>Inventories</t>
  </si>
  <si>
    <t>Property, plant and equipment</t>
  </si>
  <si>
    <t>RM'000</t>
  </si>
  <si>
    <t>MYCOM BERHAD</t>
  </si>
  <si>
    <t>Finance costs, net</t>
  </si>
  <si>
    <t>Revenue</t>
  </si>
  <si>
    <t>Total</t>
  </si>
  <si>
    <t>quarter</t>
  </si>
  <si>
    <t>corresponding</t>
  </si>
  <si>
    <t>Current financial</t>
  </si>
  <si>
    <t>Current</t>
  </si>
  <si>
    <t>CUMULATIVE QUARTER</t>
  </si>
  <si>
    <t>INDIVIDUAL QUARTER</t>
  </si>
  <si>
    <t>Repayment of hire purchase and lease payables</t>
  </si>
  <si>
    <t>Interest received</t>
  </si>
  <si>
    <t>Purchase of property, plant and equipment</t>
  </si>
  <si>
    <t>Proceeds from disposal of property, plant and equipment</t>
  </si>
  <si>
    <t>Interest paid</t>
  </si>
  <si>
    <t>Interest income</t>
  </si>
  <si>
    <t>Depreciation</t>
  </si>
  <si>
    <t>Adjustments for :</t>
  </si>
  <si>
    <t>Year-to-date</t>
  </si>
  <si>
    <t>As at</t>
  </si>
  <si>
    <t>losses</t>
  </si>
  <si>
    <t>capital</t>
  </si>
  <si>
    <t>Accumulated</t>
  </si>
  <si>
    <t xml:space="preserve">Share </t>
  </si>
  <si>
    <t>Interest expense</t>
  </si>
  <si>
    <t>Provisions for liabilities</t>
  </si>
  <si>
    <t>Borrowings</t>
  </si>
  <si>
    <t>Changes in working capital</t>
  </si>
  <si>
    <t>Property, plant and equipment written off</t>
  </si>
  <si>
    <t>Payment of dividend to minority interest by a subsidiary</t>
  </si>
  <si>
    <t>(Company No: 7296-V)</t>
  </si>
  <si>
    <t>UNAUDITED CONDENSED CONSOLIDATED STATEMENT OF CHANGES IN EQUITY</t>
  </si>
  <si>
    <t>UNAUDITED CONDENSED CONSOLIDATED INCOME STATEMENT</t>
  </si>
  <si>
    <t xml:space="preserve">UNAUDITED CONDENSED CONSOLIDATED CASH FLOW STATEMENT </t>
  </si>
  <si>
    <t>Bad debts written off</t>
  </si>
  <si>
    <t>Deferred tax liabilities</t>
  </si>
  <si>
    <t>CASH FLOWS FROM OPERATING ACTIVITIES</t>
  </si>
  <si>
    <t>CASH FLOWS FROM INVESTING ACTIVITIES</t>
  </si>
  <si>
    <t>CASH FLOWS FROM FINANCING ACTIVITIES</t>
  </si>
  <si>
    <t>Preceding year</t>
  </si>
  <si>
    <t>Operating profit before working capital changes</t>
  </si>
  <si>
    <t>Long term receivable</t>
  </si>
  <si>
    <t>Property development costs</t>
  </si>
  <si>
    <t>Other income</t>
  </si>
  <si>
    <t>Attributable to:</t>
  </si>
  <si>
    <t>Total equity</t>
  </si>
  <si>
    <t>ASSETS</t>
  </si>
  <si>
    <t>TOTAL ASSETS</t>
  </si>
  <si>
    <t>EQUITY AND LIABILITIES</t>
  </si>
  <si>
    <t>Total liabilities</t>
  </si>
  <si>
    <t>TOTAL EQUITY AND LIABILITIES</t>
  </si>
  <si>
    <t xml:space="preserve">Minority </t>
  </si>
  <si>
    <t>Equity</t>
  </si>
  <si>
    <t>Expenses</t>
  </si>
  <si>
    <t>Investment properties</t>
  </si>
  <si>
    <t>Land held for property development</t>
  </si>
  <si>
    <t>Deferred tax assets</t>
  </si>
  <si>
    <t>Irredeemable Convertible Bonds ("ICB")</t>
  </si>
  <si>
    <t>Irredeemable Exchangeable Bonds ("IEB")</t>
  </si>
  <si>
    <t>Creditors waiver</t>
  </si>
  <si>
    <t>Biological assets</t>
  </si>
  <si>
    <t>Prepaid land lease payments</t>
  </si>
  <si>
    <t>Due from a former associate</t>
  </si>
  <si>
    <t>Due to former affiliates, net</t>
  </si>
  <si>
    <t>Current tax payables</t>
  </si>
  <si>
    <t>Investments</t>
  </si>
  <si>
    <t xml:space="preserve">Equity attributable to equity holders of the Company </t>
  </si>
  <si>
    <t>Current assets</t>
  </si>
  <si>
    <t>Non-current assets</t>
  </si>
  <si>
    <t>Non-current liabilities</t>
  </si>
  <si>
    <t>Current liabilities</t>
  </si>
  <si>
    <t>At 1 July 2007</t>
  </si>
  <si>
    <t>Amortisation</t>
  </si>
  <si>
    <t>year-to-date</t>
  </si>
  <si>
    <t>period</t>
  </si>
  <si>
    <t>Equity holders of the Company</t>
  </si>
  <si>
    <t xml:space="preserve">           Attributable to Equity Holders of the Company</t>
  </si>
  <si>
    <t>Non-Distributable</t>
  </si>
  <si>
    <t>component</t>
  </si>
  <si>
    <t xml:space="preserve"> of ICULS </t>
  </si>
  <si>
    <t>of ICB</t>
  </si>
  <si>
    <t>of IEB</t>
  </si>
  <si>
    <t>Shareholders'</t>
  </si>
  <si>
    <t>DutaLand Berhad</t>
  </si>
  <si>
    <t>Continuing Operations</t>
  </si>
  <si>
    <t>Discontinued operation</t>
  </si>
  <si>
    <t>Earnings per share attributable to</t>
  </si>
  <si>
    <t xml:space="preserve">  equity holders of the company (sen)</t>
  </si>
  <si>
    <t>Basic, for loss from discontinued operation</t>
  </si>
  <si>
    <t>Diluted, for loss from discontinued operation</t>
  </si>
  <si>
    <t>- Continuing operations</t>
  </si>
  <si>
    <t>- Discontinued operation</t>
  </si>
  <si>
    <t>Allowance for doubtful debts</t>
  </si>
  <si>
    <t>Provision for short term accumulating compensated absences</t>
  </si>
  <si>
    <t>EFFECTS OF EXCHANGE RATE CHANGES</t>
  </si>
  <si>
    <t>Waiver of tax penalty</t>
  </si>
  <si>
    <t>Unrealised foreign exchange loss/(gain), net</t>
  </si>
  <si>
    <t>At 1 July 2008</t>
  </si>
  <si>
    <t>Irredeemable Convertible Unsecured Loan Stocks ("ICULS")</t>
  </si>
  <si>
    <t xml:space="preserve"> </t>
  </si>
  <si>
    <t>Basic, for profit from continuing operations</t>
  </si>
  <si>
    <t>Diluted, for profit from continuing operations</t>
  </si>
  <si>
    <t>Loss on cancellation of financial instruments</t>
  </si>
  <si>
    <t>Net cash generated from/(used in) investing activities</t>
  </si>
  <si>
    <t>Net cash used in financing activities</t>
  </si>
  <si>
    <t>NET DECREASE IN CASH AND CASH EQUIVALENTS</t>
  </si>
  <si>
    <t>UNAUDITED CONDENSED CONSOLIDATED BALANCE SHEET AS AT 30 JUNE 2009</t>
  </si>
  <si>
    <t>Tax recoverable</t>
  </si>
  <si>
    <t>12 months ended 30 June 2008</t>
  </si>
  <si>
    <t>At 30 June 2009</t>
  </si>
  <si>
    <t>Realisation upon disposal of a subsidiary</t>
  </si>
  <si>
    <t>Dividend paid to minority interest</t>
  </si>
  <si>
    <t>12 months ended 30 June 2009</t>
  </si>
  <si>
    <t>Conversion of ICULS</t>
  </si>
  <si>
    <t>Conversion of ICB</t>
  </si>
  <si>
    <t>Gain on disposal of investment in subsidiaries</t>
  </si>
  <si>
    <t>Gain on disposal of property, plant and equipment, net</t>
  </si>
  <si>
    <t>Gain on disposal of short term investment</t>
  </si>
  <si>
    <t>Taxation refunded/(paid) (net)</t>
  </si>
  <si>
    <t>Proceeds from disposal of short term investments</t>
  </si>
  <si>
    <t>Cash (used in)/generated from operations</t>
  </si>
  <si>
    <t>Net cash inflow from disposal of investment in subsidiaries</t>
  </si>
  <si>
    <t>CASH AND CASH EQUIVALENTS AT BEGINNING OF FINANCIAL YEAR</t>
  </si>
  <si>
    <t>CASH AND CASH EQUIVALENTS AT END OF FINANCIAL YEAR</t>
  </si>
  <si>
    <t>FOR THE YEAR ENDED 30 JUNE 2009</t>
  </si>
  <si>
    <t>Profit/(loss) for the year, representing total recognised income and expense for the year</t>
  </si>
  <si>
    <t>Reversal of deferred tax</t>
  </si>
  <si>
    <t>interest</t>
  </si>
  <si>
    <t>At 30 June 2008</t>
  </si>
  <si>
    <t>Profit/(loss) before taxation</t>
  </si>
  <si>
    <t>Write back of allowance for doubtful debts</t>
  </si>
  <si>
    <t>Profit from continuing operations</t>
  </si>
  <si>
    <t>Loss from discontinued operation</t>
  </si>
  <si>
    <t>Basic, for profit for the period/year</t>
  </si>
  <si>
    <t>Diluted, for profit for the period/year</t>
  </si>
  <si>
    <t>Cancellation of ICULS/ICB/IEB</t>
  </si>
  <si>
    <t>Cancellation of ICULS/ICB</t>
  </si>
  <si>
    <t>Impairment losses on marketable securities</t>
  </si>
  <si>
    <t>Write back of provision for impairment losses on property, plant and equipment</t>
  </si>
  <si>
    <t>Write back of provision for obsolete inventories</t>
  </si>
  <si>
    <t>Write back of provision for liabilities</t>
  </si>
  <si>
    <t>Inventories written off</t>
  </si>
  <si>
    <t>Purchase of other investment</t>
  </si>
  <si>
    <t>Purchase of land held for property development</t>
  </si>
  <si>
    <t>Decrease in amount due from a former associate</t>
  </si>
  <si>
    <t>Drawdown/(repayment) of borrowings, net</t>
  </si>
  <si>
    <t>Withdrawals/(additions) of fixed deposit pledged</t>
  </si>
  <si>
    <t>Net cash used in operating activities</t>
  </si>
  <si>
    <t>Increase/(decrease) in amount due to former affiliates, net</t>
  </si>
  <si>
    <t>Repayment and cancellation of financial instruments</t>
  </si>
  <si>
    <t>Expenditure incurred on biological assets</t>
  </si>
  <si>
    <t>Income tax credit/(expense)</t>
  </si>
  <si>
    <t>Profit before taxation</t>
  </si>
  <si>
    <t>Impairment losses on property, plant and equipment</t>
  </si>
  <si>
    <t>Expenditure incurred on prepaid land lease payment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</si>
</sst>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(* #,##0_);_(* \(#,##0\);_(* &quot;-&quot;??_);_(@_)"/>
    <numFmt numFmtId="187" formatCode="_(* #,##0.0_);_(* \(#,##0.0\);_(* &quot;-&quot;??_);_(@_)"/>
    <numFmt numFmtId="188" formatCode="_(* #,##0.0_);_(* \(#,##0.0\);_(* &quot;-&quot;?_);_(@_)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d/mmm/yy"/>
    <numFmt numFmtId="194" formatCode="_ * #,##0.0_ ;_ * \-#,##0.0_ ;_ * &quot;-&quot;??_ ;_ @_ "/>
    <numFmt numFmtId="195" formatCode="_ * #,##0_ ;_ * \-#,##0_ ;_ * &quot;-&quot;??_ ;_ @_ "/>
    <numFmt numFmtId="196" formatCode="_-* #,##0.000_-;\-* #,##0.000_-;_-* &quot;-&quot;??_-;_-@_-"/>
    <numFmt numFmtId="197" formatCode="_-* #,##0.0_-;\-* #,##0.0_-;_-* &quot;-&quot;?_-;_-@_-"/>
  </numFmts>
  <fonts count="16">
    <font>
      <sz val="10"/>
      <name val="Arial"/>
      <family val="0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186" fontId="1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86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86" fontId="9" fillId="0" borderId="0" xfId="15" applyNumberFormat="1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86" fontId="2" fillId="0" borderId="0" xfId="0" applyNumberFormat="1" applyFont="1" applyFill="1" applyAlignment="1">
      <alignment/>
    </xf>
    <xf numFmtId="186" fontId="9" fillId="0" borderId="0" xfId="15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justify" vertical="center"/>
      <protection locked="0"/>
    </xf>
    <xf numFmtId="0" fontId="1" fillId="0" borderId="0" xfId="0" applyFont="1" applyFill="1" applyAlignment="1" applyProtection="1">
      <alignment horizontal="fill"/>
      <protection locked="0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2" fillId="0" borderId="0" xfId="0" applyNumberFormat="1" applyFont="1" applyFill="1" applyBorder="1" applyAlignment="1">
      <alignment/>
    </xf>
    <xf numFmtId="169" fontId="6" fillId="0" borderId="0" xfId="0" applyNumberFormat="1" applyFont="1" applyFill="1" applyAlignment="1">
      <alignment horizontal="left"/>
    </xf>
    <xf numFmtId="169" fontId="7" fillId="0" borderId="0" xfId="0" applyNumberFormat="1" applyFont="1" applyFill="1" applyAlignment="1">
      <alignment horizontal="left"/>
    </xf>
    <xf numFmtId="169" fontId="5" fillId="0" borderId="1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 applyProtection="1">
      <alignment/>
      <protection locked="0"/>
    </xf>
    <xf numFmtId="169" fontId="8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Alignment="1" applyProtection="1">
      <alignment horizontal="justify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186" fontId="2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 applyProtection="1" quotePrefix="1">
      <alignment/>
      <protection locked="0"/>
    </xf>
    <xf numFmtId="169" fontId="1" fillId="0" borderId="0" xfId="0" applyNumberFormat="1" applyFont="1" applyFill="1" applyAlignment="1" applyProtection="1">
      <alignment/>
      <protection locked="0"/>
    </xf>
    <xf numFmtId="190" fontId="1" fillId="0" borderId="0" xfId="0" applyNumberFormat="1" applyFont="1" applyFill="1" applyAlignment="1" applyProtection="1">
      <alignment/>
      <protection locked="0"/>
    </xf>
    <xf numFmtId="196" fontId="1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186" fontId="2" fillId="0" borderId="0" xfId="15" applyNumberFormat="1" applyFont="1" applyFill="1" applyAlignment="1" applyProtection="1">
      <alignment/>
      <protection locked="0"/>
    </xf>
    <xf numFmtId="186" fontId="2" fillId="0" borderId="0" xfId="15" applyNumberFormat="1" applyFont="1" applyFill="1" applyBorder="1" applyAlignment="1" applyProtection="1">
      <alignment/>
      <protection locked="0"/>
    </xf>
    <xf numFmtId="186" fontId="2" fillId="0" borderId="0" xfId="15" applyNumberFormat="1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86" fontId="1" fillId="0" borderId="0" xfId="0" applyNumberFormat="1" applyFont="1" applyFill="1" applyBorder="1" applyAlignment="1" applyProtection="1">
      <alignment/>
      <protection locked="0"/>
    </xf>
    <xf numFmtId="169" fontId="1" fillId="0" borderId="0" xfId="0" applyNumberFormat="1" applyFont="1" applyFill="1" applyBorder="1" applyAlignment="1" applyProtection="1">
      <alignment/>
      <protection locked="0"/>
    </xf>
    <xf numFmtId="15" fontId="8" fillId="0" borderId="0" xfId="0" applyNumberFormat="1" applyFont="1" applyFill="1" applyAlignment="1" applyProtection="1" quotePrefix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86" fontId="2" fillId="0" borderId="3" xfId="15" applyNumberFormat="1" applyFont="1" applyFill="1" applyBorder="1" applyAlignment="1" applyProtection="1">
      <alignment/>
      <protection locked="0"/>
    </xf>
    <xf numFmtId="186" fontId="2" fillId="0" borderId="4" xfId="15" applyNumberFormat="1" applyFont="1" applyFill="1" applyBorder="1" applyAlignment="1" applyProtection="1">
      <alignment/>
      <protection locked="0"/>
    </xf>
    <xf numFmtId="186" fontId="2" fillId="0" borderId="5" xfId="15" applyNumberFormat="1" applyFont="1" applyFill="1" applyBorder="1" applyAlignment="1" applyProtection="1">
      <alignment/>
      <protection locked="0"/>
    </xf>
    <xf numFmtId="186" fontId="2" fillId="0" borderId="6" xfId="0" applyNumberFormat="1" applyFont="1" applyFill="1" applyBorder="1" applyAlignment="1" applyProtection="1">
      <alignment/>
      <protection locked="0"/>
    </xf>
    <xf numFmtId="186" fontId="2" fillId="0" borderId="0" xfId="15" applyNumberFormat="1" applyFont="1" applyFill="1" applyAlignment="1" applyProtection="1">
      <alignment/>
      <protection locked="0"/>
    </xf>
    <xf numFmtId="186" fontId="2" fillId="0" borderId="7" xfId="15" applyNumberFormat="1" applyFont="1" applyFill="1" applyBorder="1" applyAlignment="1" applyProtection="1">
      <alignment/>
      <protection locked="0"/>
    </xf>
    <xf numFmtId="186" fontId="2" fillId="0" borderId="0" xfId="15" applyNumberFormat="1" applyFont="1" applyFill="1" applyBorder="1" applyAlignment="1" applyProtection="1">
      <alignment/>
      <protection locked="0"/>
    </xf>
    <xf numFmtId="186" fontId="2" fillId="0" borderId="8" xfId="15" applyNumberFormat="1" applyFont="1" applyFill="1" applyBorder="1" applyAlignment="1" applyProtection="1">
      <alignment/>
      <protection locked="0"/>
    </xf>
    <xf numFmtId="15" fontId="3" fillId="0" borderId="0" xfId="0" applyNumberFormat="1" applyFont="1" applyFill="1" applyAlignment="1" applyProtection="1" quotePrefix="1">
      <alignment horizontal="center"/>
      <protection locked="0"/>
    </xf>
    <xf numFmtId="15" fontId="3" fillId="0" borderId="0" xfId="0" applyNumberFormat="1" applyFont="1" applyFill="1" applyAlignment="1" applyProtection="1">
      <alignment horizontal="center"/>
      <protection locked="0"/>
    </xf>
    <xf numFmtId="43" fontId="2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86" fontId="2" fillId="0" borderId="2" xfId="15" applyNumberFormat="1" applyFont="1" applyFill="1" applyBorder="1" applyAlignment="1" applyProtection="1">
      <alignment/>
      <protection locked="0"/>
    </xf>
    <xf numFmtId="169" fontId="2" fillId="0" borderId="2" xfId="0" applyNumberFormat="1" applyFont="1" applyFill="1" applyBorder="1" applyAlignment="1" applyProtection="1">
      <alignment/>
      <protection locked="0"/>
    </xf>
    <xf numFmtId="169" fontId="2" fillId="0" borderId="0" xfId="0" applyNumberFormat="1" applyFont="1" applyFill="1" applyBorder="1" applyAlignment="1" applyProtection="1">
      <alignment/>
      <protection locked="0"/>
    </xf>
    <xf numFmtId="169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171" fontId="2" fillId="0" borderId="0" xfId="0" applyNumberFormat="1" applyFont="1" applyFill="1" applyBorder="1" applyAlignment="1" applyProtection="1">
      <alignment/>
      <protection locked="0"/>
    </xf>
    <xf numFmtId="171" fontId="2" fillId="0" borderId="0" xfId="15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87" fontId="2" fillId="0" borderId="0" xfId="15" applyNumberFormat="1" applyFont="1" applyFill="1" applyBorder="1" applyAlignment="1" applyProtection="1">
      <alignment/>
      <protection locked="0"/>
    </xf>
    <xf numFmtId="171" fontId="2" fillId="0" borderId="0" xfId="15" applyFont="1" applyFill="1" applyBorder="1" applyAlignment="1" applyProtection="1">
      <alignment horizontal="right"/>
      <protection locked="0"/>
    </xf>
    <xf numFmtId="171" fontId="13" fillId="0" borderId="0" xfId="15" applyFont="1" applyFill="1" applyBorder="1" applyAlignment="1" applyProtection="1">
      <alignment/>
      <protection locked="0"/>
    </xf>
    <xf numFmtId="171" fontId="13" fillId="0" borderId="0" xfId="15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right"/>
      <protection locked="0"/>
    </xf>
    <xf numFmtId="171" fontId="2" fillId="0" borderId="6" xfId="0" applyNumberFormat="1" applyFont="1" applyFill="1" applyBorder="1" applyAlignment="1" applyProtection="1">
      <alignment/>
      <protection locked="0"/>
    </xf>
    <xf numFmtId="171" fontId="12" fillId="0" borderId="0" xfId="0" applyNumberFormat="1" applyFont="1" applyFill="1" applyBorder="1" applyAlignment="1" applyProtection="1">
      <alignment/>
      <protection locked="0"/>
    </xf>
    <xf numFmtId="171" fontId="2" fillId="0" borderId="0" xfId="0" applyNumberFormat="1" applyFont="1" applyFill="1" applyBorder="1" applyAlignment="1" applyProtection="1">
      <alignment horizontal="right"/>
      <protection locked="0"/>
    </xf>
    <xf numFmtId="171" fontId="2" fillId="0" borderId="6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86" fontId="2" fillId="0" borderId="6" xfId="15" applyNumberFormat="1" applyFont="1" applyFill="1" applyBorder="1" applyAlignment="1" applyProtection="1">
      <alignment/>
      <protection locked="0"/>
    </xf>
    <xf numFmtId="186" fontId="2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9" fontId="8" fillId="0" borderId="2" xfId="0" applyNumberFormat="1" applyFont="1" applyFill="1" applyBorder="1" applyAlignment="1" applyProtection="1">
      <alignment horizontal="center"/>
      <protection locked="0"/>
    </xf>
    <xf numFmtId="169" fontId="14" fillId="0" borderId="0" xfId="15" applyNumberFormat="1" applyFont="1" applyFill="1" applyAlignment="1" applyProtection="1">
      <alignment/>
      <protection locked="0"/>
    </xf>
    <xf numFmtId="169" fontId="9" fillId="0" borderId="0" xfId="15" applyNumberFormat="1" applyFont="1" applyFill="1" applyAlignment="1" applyProtection="1">
      <alignment/>
      <protection locked="0"/>
    </xf>
    <xf numFmtId="169" fontId="9" fillId="0" borderId="0" xfId="15" applyNumberFormat="1" applyFont="1" applyFill="1" applyBorder="1" applyAlignment="1" applyProtection="1">
      <alignment/>
      <protection locked="0"/>
    </xf>
    <xf numFmtId="169" fontId="14" fillId="0" borderId="0" xfId="15" applyNumberFormat="1" applyFont="1" applyFill="1" applyBorder="1" applyAlignment="1" applyProtection="1">
      <alignment/>
      <protection locked="0"/>
    </xf>
    <xf numFmtId="169" fontId="14" fillId="0" borderId="2" xfId="15" applyNumberFormat="1" applyFont="1" applyFill="1" applyBorder="1" applyAlignment="1" applyProtection="1">
      <alignment/>
      <protection locked="0"/>
    </xf>
    <xf numFmtId="169" fontId="9" fillId="0" borderId="2" xfId="15" applyNumberFormat="1" applyFont="1" applyFill="1" applyBorder="1" applyAlignment="1" applyProtection="1">
      <alignment/>
      <protection locked="0"/>
    </xf>
    <xf numFmtId="169" fontId="14" fillId="0" borderId="8" xfId="15" applyNumberFormat="1" applyFont="1" applyFill="1" applyBorder="1" applyAlignment="1" applyProtection="1">
      <alignment/>
      <protection locked="0"/>
    </xf>
    <xf numFmtId="169" fontId="9" fillId="0" borderId="8" xfId="15" applyNumberFormat="1" applyFont="1" applyFill="1" applyBorder="1" applyAlignment="1" applyProtection="1">
      <alignment/>
      <protection locked="0"/>
    </xf>
    <xf numFmtId="169" fontId="14" fillId="0" borderId="0" xfId="0" applyNumberFormat="1" applyFont="1" applyFill="1" applyAlignment="1" applyProtection="1">
      <alignment/>
      <protection locked="0"/>
    </xf>
    <xf numFmtId="169" fontId="14" fillId="0" borderId="9" xfId="0" applyNumberFormat="1" applyFont="1" applyFill="1" applyBorder="1" applyAlignment="1" applyProtection="1">
      <alignment/>
      <protection locked="0"/>
    </xf>
    <xf numFmtId="169" fontId="9" fillId="0" borderId="0" xfId="0" applyNumberFormat="1" applyFont="1" applyFill="1" applyBorder="1" applyAlignment="1" applyProtection="1">
      <alignment/>
      <protection locked="0"/>
    </xf>
    <xf numFmtId="169" fontId="14" fillId="0" borderId="1" xfId="15" applyNumberFormat="1" applyFont="1" applyFill="1" applyBorder="1" applyAlignment="1" applyProtection="1">
      <alignment/>
      <protection locked="0"/>
    </xf>
    <xf numFmtId="169" fontId="9" fillId="0" borderId="6" xfId="15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600075</xdr:colOff>
      <xdr:row>31</xdr:row>
      <xdr:rowOff>123825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5343525" y="521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9</xdr:row>
      <xdr:rowOff>85725</xdr:rowOff>
    </xdr:from>
    <xdr:to>
      <xdr:col>13</xdr:col>
      <xdr:colOff>685800</xdr:colOff>
      <xdr:row>9</xdr:row>
      <xdr:rowOff>85725</xdr:rowOff>
    </xdr:to>
    <xdr:sp>
      <xdr:nvSpPr>
        <xdr:cNvPr id="1" name="Line 16"/>
        <xdr:cNvSpPr>
          <a:spLocks/>
        </xdr:cNvSpPr>
      </xdr:nvSpPr>
      <xdr:spPr>
        <a:xfrm>
          <a:off x="5734050" y="16192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85725</xdr:rowOff>
    </xdr:from>
    <xdr:to>
      <xdr:col>3</xdr:col>
      <xdr:colOff>295275</xdr:colOff>
      <xdr:row>9</xdr:row>
      <xdr:rowOff>85725</xdr:rowOff>
    </xdr:to>
    <xdr:sp>
      <xdr:nvSpPr>
        <xdr:cNvPr id="2" name="Line 17"/>
        <xdr:cNvSpPr>
          <a:spLocks/>
        </xdr:cNvSpPr>
      </xdr:nvSpPr>
      <xdr:spPr>
        <a:xfrm flipH="1">
          <a:off x="2162175" y="16192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76200</xdr:rowOff>
    </xdr:from>
    <xdr:to>
      <xdr:col>3</xdr:col>
      <xdr:colOff>485775</xdr:colOff>
      <xdr:row>11</xdr:row>
      <xdr:rowOff>76200</xdr:rowOff>
    </xdr:to>
    <xdr:sp>
      <xdr:nvSpPr>
        <xdr:cNvPr id="3" name="Line 19"/>
        <xdr:cNvSpPr>
          <a:spLocks/>
        </xdr:cNvSpPr>
      </xdr:nvSpPr>
      <xdr:spPr>
        <a:xfrm flipH="1">
          <a:off x="2162175" y="19335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11</xdr:row>
      <xdr:rowOff>85725</xdr:rowOff>
    </xdr:from>
    <xdr:to>
      <xdr:col>9</xdr:col>
      <xdr:colOff>609600</xdr:colOff>
      <xdr:row>11</xdr:row>
      <xdr:rowOff>85725</xdr:rowOff>
    </xdr:to>
    <xdr:sp>
      <xdr:nvSpPr>
        <xdr:cNvPr id="4" name="Line 20"/>
        <xdr:cNvSpPr>
          <a:spLocks/>
        </xdr:cNvSpPr>
      </xdr:nvSpPr>
      <xdr:spPr>
        <a:xfrm>
          <a:off x="4419600" y="19431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uarterly%20results\jun08\EPS%20computation%20Jun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 Yearly"/>
      <sheetName val="EPS quarterly"/>
    </sheetNames>
    <sheetDataSet>
      <sheetData sheetId="0">
        <row r="170">
          <cell r="J170">
            <v>1019591251.6779662</v>
          </cell>
        </row>
      </sheetData>
      <sheetData sheetId="1">
        <row r="169">
          <cell r="J169">
            <v>1019591251.6779662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B69" sqref="B69"/>
    </sheetView>
  </sheetViews>
  <sheetFormatPr defaultColWidth="9.140625" defaultRowHeight="12.75"/>
  <cols>
    <col min="1" max="1" width="4.7109375" style="1" customWidth="1"/>
    <col min="2" max="2" width="50.140625" style="1" customWidth="1"/>
    <col min="3" max="3" width="13.7109375" style="1" customWidth="1"/>
    <col min="4" max="4" width="2.57421875" style="1" customWidth="1"/>
    <col min="5" max="5" width="13.140625" style="1" customWidth="1"/>
    <col min="6" max="6" width="1.57421875" style="1" customWidth="1"/>
    <col min="7" max="7" width="10.57421875" style="1" customWidth="1"/>
    <col min="8" max="8" width="11.57421875" style="57" customWidth="1"/>
    <col min="9" max="9" width="1.7109375" style="57" customWidth="1"/>
    <col min="10" max="10" width="14.421875" style="57" customWidth="1"/>
    <col min="11" max="16384" width="0.9921875" style="1" customWidth="1"/>
  </cols>
  <sheetData>
    <row r="1" spans="1:5" ht="15.75">
      <c r="A1" s="19" t="s">
        <v>95</v>
      </c>
      <c r="B1" s="16"/>
      <c r="C1" s="16"/>
      <c r="D1" s="16"/>
      <c r="E1" s="16"/>
    </row>
    <row r="2" spans="1:5" ht="15">
      <c r="A2" s="38" t="s">
        <v>42</v>
      </c>
      <c r="B2" s="17"/>
      <c r="C2" s="17"/>
      <c r="D2" s="17"/>
      <c r="E2" s="17"/>
    </row>
    <row r="3" spans="1:7" ht="13.5" thickBot="1">
      <c r="A3" s="18"/>
      <c r="B3" s="18"/>
      <c r="C3" s="18"/>
      <c r="D3" s="18"/>
      <c r="E3" s="18"/>
      <c r="F3" s="20"/>
      <c r="G3" s="20"/>
    </row>
    <row r="4" spans="1:5" ht="12.75">
      <c r="A4" s="21"/>
      <c r="B4" s="21"/>
      <c r="C4" s="21"/>
      <c r="D4" s="21"/>
      <c r="E4" s="21"/>
    </row>
    <row r="5" spans="1:5" ht="12.75">
      <c r="A5" s="9"/>
      <c r="B5" s="9"/>
      <c r="C5" s="9"/>
      <c r="D5" s="9"/>
      <c r="E5" s="9"/>
    </row>
    <row r="6" spans="1:5" ht="12.75">
      <c r="A6" s="23" t="s">
        <v>118</v>
      </c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4"/>
      <c r="B8" s="4"/>
      <c r="C8" s="44" t="s">
        <v>31</v>
      </c>
      <c r="D8" s="4"/>
      <c r="E8" s="44" t="s">
        <v>31</v>
      </c>
    </row>
    <row r="9" spans="1:5" ht="12.75">
      <c r="A9" s="4"/>
      <c r="B9" s="4"/>
      <c r="C9" s="61">
        <v>39994</v>
      </c>
      <c r="D9" s="4"/>
      <c r="E9" s="61">
        <v>39629</v>
      </c>
    </row>
    <row r="10" spans="1:5" ht="12.75">
      <c r="A10" s="4"/>
      <c r="B10" s="4"/>
      <c r="C10" s="62" t="s">
        <v>11</v>
      </c>
      <c r="D10" s="4"/>
      <c r="E10" s="62" t="s">
        <v>11</v>
      </c>
    </row>
    <row r="11" spans="1:5" ht="12.75">
      <c r="A11" s="4"/>
      <c r="B11" s="4"/>
      <c r="C11" s="63"/>
      <c r="D11" s="4"/>
      <c r="E11" s="63"/>
    </row>
    <row r="12" spans="1:5" ht="12.75">
      <c r="A12" s="3" t="s">
        <v>58</v>
      </c>
      <c r="B12" s="4"/>
      <c r="C12" s="4"/>
      <c r="D12" s="4"/>
      <c r="E12" s="4"/>
    </row>
    <row r="13" spans="1:10" ht="12.75">
      <c r="A13" s="3"/>
      <c r="B13" s="4"/>
      <c r="C13" s="4"/>
      <c r="D13" s="4"/>
      <c r="E13" s="4"/>
      <c r="J13" s="58"/>
    </row>
    <row r="14" spans="1:10" ht="12.75">
      <c r="A14" s="3" t="s">
        <v>80</v>
      </c>
      <c r="B14" s="4"/>
      <c r="C14" s="4"/>
      <c r="D14" s="4"/>
      <c r="E14" s="4"/>
      <c r="H14" s="58"/>
      <c r="J14" s="58"/>
    </row>
    <row r="15" spans="1:10" ht="12.75">
      <c r="A15" s="4" t="s">
        <v>10</v>
      </c>
      <c r="B15" s="4"/>
      <c r="C15" s="64">
        <v>343505</v>
      </c>
      <c r="D15" s="6"/>
      <c r="E15" s="64">
        <v>350353.401</v>
      </c>
      <c r="F15" s="2"/>
      <c r="H15" s="59"/>
      <c r="J15" s="60"/>
    </row>
    <row r="16" spans="1:10" ht="12.75">
      <c r="A16" s="4" t="s">
        <v>72</v>
      </c>
      <c r="B16" s="4"/>
      <c r="C16" s="65">
        <v>129617</v>
      </c>
      <c r="D16" s="6"/>
      <c r="E16" s="65">
        <v>175514.069</v>
      </c>
      <c r="F16" s="2"/>
      <c r="H16" s="59"/>
      <c r="J16" s="60"/>
    </row>
    <row r="17" spans="1:10" ht="12.75">
      <c r="A17" s="4" t="s">
        <v>67</v>
      </c>
      <c r="B17" s="4"/>
      <c r="C17" s="65">
        <v>94920</v>
      </c>
      <c r="D17" s="6"/>
      <c r="E17" s="65">
        <v>84310</v>
      </c>
      <c r="F17" s="2"/>
      <c r="H17" s="59"/>
      <c r="J17" s="60"/>
    </row>
    <row r="18" spans="1:10" ht="12.75">
      <c r="A18" s="4" t="s">
        <v>66</v>
      </c>
      <c r="B18" s="4"/>
      <c r="C18" s="65">
        <v>4867</v>
      </c>
      <c r="D18" s="6"/>
      <c r="E18" s="65">
        <v>5047.427</v>
      </c>
      <c r="F18" s="2"/>
      <c r="H18" s="59"/>
      <c r="J18" s="60"/>
    </row>
    <row r="19" spans="1:10" ht="12.75">
      <c r="A19" s="4" t="s">
        <v>73</v>
      </c>
      <c r="B19" s="4"/>
      <c r="C19" s="65">
        <v>124278</v>
      </c>
      <c r="D19" s="6"/>
      <c r="E19" s="65">
        <v>150965.751</v>
      </c>
      <c r="F19" s="2"/>
      <c r="H19" s="59"/>
      <c r="J19" s="60"/>
    </row>
    <row r="20" spans="1:10" ht="12.75">
      <c r="A20" s="4" t="s">
        <v>77</v>
      </c>
      <c r="B20" s="4"/>
      <c r="C20" s="65">
        <v>104</v>
      </c>
      <c r="D20" s="6"/>
      <c r="E20" s="65">
        <v>104</v>
      </c>
      <c r="F20" s="2"/>
      <c r="H20" s="59"/>
      <c r="J20" s="60"/>
    </row>
    <row r="21" spans="1:10" ht="12.75">
      <c r="A21" s="4" t="s">
        <v>53</v>
      </c>
      <c r="B21" s="4"/>
      <c r="C21" s="65">
        <v>21328</v>
      </c>
      <c r="D21" s="6"/>
      <c r="E21" s="65">
        <v>21327.752</v>
      </c>
      <c r="H21" s="59"/>
      <c r="J21" s="60"/>
    </row>
    <row r="22" spans="1:10" ht="12.75">
      <c r="A22" s="4" t="s">
        <v>68</v>
      </c>
      <c r="B22" s="4"/>
      <c r="C22" s="65">
        <v>8735</v>
      </c>
      <c r="D22" s="6"/>
      <c r="E22" s="65">
        <v>13088.298</v>
      </c>
      <c r="H22" s="59"/>
      <c r="J22" s="60"/>
    </row>
    <row r="23" spans="1:10" ht="12.75">
      <c r="A23" s="4"/>
      <c r="B23" s="4"/>
      <c r="C23" s="66">
        <f>SUM(C15:C22)</f>
        <v>727354</v>
      </c>
      <c r="D23" s="6"/>
      <c r="E23" s="66">
        <v>800709.698</v>
      </c>
      <c r="H23" s="59"/>
      <c r="J23" s="60"/>
    </row>
    <row r="24" spans="1:10" ht="12.75">
      <c r="A24" s="4"/>
      <c r="B24" s="4"/>
      <c r="C24" s="5"/>
      <c r="D24" s="4"/>
      <c r="E24" s="4"/>
      <c r="J24" s="60"/>
    </row>
    <row r="25" spans="1:10" ht="12.75">
      <c r="A25" s="3" t="s">
        <v>79</v>
      </c>
      <c r="B25" s="4"/>
      <c r="C25" s="6"/>
      <c r="D25" s="6"/>
      <c r="E25" s="6"/>
      <c r="J25" s="60"/>
    </row>
    <row r="26" spans="1:10" ht="12.75">
      <c r="A26" s="4" t="s">
        <v>54</v>
      </c>
      <c r="B26" s="4"/>
      <c r="C26" s="64">
        <v>340483</v>
      </c>
      <c r="D26" s="6"/>
      <c r="E26" s="64">
        <v>339603</v>
      </c>
      <c r="H26" s="59"/>
      <c r="J26" s="60"/>
    </row>
    <row r="27" spans="1:10" ht="12.75">
      <c r="A27" s="4" t="s">
        <v>9</v>
      </c>
      <c r="B27" s="4"/>
      <c r="C27" s="65">
        <v>7131</v>
      </c>
      <c r="D27" s="6"/>
      <c r="E27" s="65">
        <v>8275</v>
      </c>
      <c r="H27" s="59"/>
      <c r="J27" s="60"/>
    </row>
    <row r="28" spans="1:10" ht="12.75">
      <c r="A28" s="4" t="s">
        <v>74</v>
      </c>
      <c r="B28" s="4"/>
      <c r="C28" s="65">
        <f>7079-1285</f>
        <v>5794</v>
      </c>
      <c r="D28" s="6"/>
      <c r="E28" s="65">
        <v>7096</v>
      </c>
      <c r="H28" s="59"/>
      <c r="J28" s="60"/>
    </row>
    <row r="29" spans="1:10" ht="12.75">
      <c r="A29" s="4" t="s">
        <v>8</v>
      </c>
      <c r="B29" s="4"/>
      <c r="C29" s="65">
        <f>40322+6053</f>
        <v>46375</v>
      </c>
      <c r="D29" s="6"/>
      <c r="E29" s="65">
        <v>49138</v>
      </c>
      <c r="H29" s="59"/>
      <c r="J29" s="60"/>
    </row>
    <row r="30" spans="1:10" ht="12.75">
      <c r="A30" s="4" t="s">
        <v>119</v>
      </c>
      <c r="B30" s="4"/>
      <c r="C30" s="65">
        <v>345</v>
      </c>
      <c r="D30" s="6"/>
      <c r="E30" s="65">
        <v>0</v>
      </c>
      <c r="H30" s="59"/>
      <c r="J30" s="60"/>
    </row>
    <row r="31" spans="1:10" ht="12.75">
      <c r="A31" s="4" t="s">
        <v>7</v>
      </c>
      <c r="B31" s="4"/>
      <c r="C31" s="65">
        <f>1458+1897</f>
        <v>3355</v>
      </c>
      <c r="D31" s="6"/>
      <c r="E31" s="65">
        <f>4020+22030</f>
        <v>26050</v>
      </c>
      <c r="H31" s="59"/>
      <c r="J31" s="60"/>
    </row>
    <row r="32" spans="1:10" ht="12.75">
      <c r="A32" s="4" t="s">
        <v>6</v>
      </c>
      <c r="B32" s="4"/>
      <c r="C32" s="65">
        <v>13460</v>
      </c>
      <c r="D32" s="6"/>
      <c r="E32" s="65">
        <f>39424-22030</f>
        <v>17394</v>
      </c>
      <c r="H32" s="59"/>
      <c r="J32" s="60"/>
    </row>
    <row r="33" spans="1:10" ht="12.75">
      <c r="A33" s="4"/>
      <c r="B33" s="4"/>
      <c r="C33" s="66">
        <f>SUM(C26:C32)</f>
        <v>416943</v>
      </c>
      <c r="D33" s="6"/>
      <c r="E33" s="66">
        <f>SUM(E26:E32)</f>
        <v>447556</v>
      </c>
      <c r="H33" s="59"/>
      <c r="J33" s="60"/>
    </row>
    <row r="34" spans="1:10" ht="12.75">
      <c r="A34" s="4"/>
      <c r="B34" s="4"/>
      <c r="C34" s="4"/>
      <c r="D34" s="4"/>
      <c r="E34" s="4"/>
      <c r="J34" s="60"/>
    </row>
    <row r="35" spans="1:10" ht="13.5" thickBot="1">
      <c r="A35" s="3" t="s">
        <v>59</v>
      </c>
      <c r="B35" s="3"/>
      <c r="C35" s="67">
        <f>+C33+C23</f>
        <v>1144297</v>
      </c>
      <c r="D35" s="4"/>
      <c r="E35" s="67">
        <f>+E23+E33</f>
        <v>1248265.6979999999</v>
      </c>
      <c r="H35" s="59"/>
      <c r="J35" s="59"/>
    </row>
    <row r="36" spans="1:10" ht="12.75">
      <c r="A36" s="4"/>
      <c r="B36" s="4"/>
      <c r="C36" s="68"/>
      <c r="D36" s="4"/>
      <c r="E36" s="68"/>
      <c r="J36" s="60"/>
    </row>
    <row r="37" spans="1:10" ht="12.75">
      <c r="A37" s="3" t="s">
        <v>60</v>
      </c>
      <c r="B37" s="4"/>
      <c r="C37" s="5"/>
      <c r="D37" s="4"/>
      <c r="E37" s="4"/>
      <c r="J37" s="60"/>
    </row>
    <row r="38" spans="1:10" ht="12.75">
      <c r="A38" s="3"/>
      <c r="B38" s="4"/>
      <c r="C38" s="4"/>
      <c r="D38" s="4"/>
      <c r="E38" s="4"/>
      <c r="J38" s="60"/>
    </row>
    <row r="39" spans="1:10" ht="12.75">
      <c r="A39" s="3" t="s">
        <v>78</v>
      </c>
      <c r="B39" s="4"/>
      <c r="C39" s="6"/>
      <c r="D39" s="6"/>
      <c r="E39" s="6"/>
      <c r="J39" s="60"/>
    </row>
    <row r="40" spans="1:10" ht="12.75">
      <c r="A40" s="4" t="s">
        <v>4</v>
      </c>
      <c r="B40" s="4"/>
      <c r="C40" s="64">
        <v>586079</v>
      </c>
      <c r="D40" s="6"/>
      <c r="E40" s="64">
        <v>564603</v>
      </c>
      <c r="H40" s="59"/>
      <c r="J40" s="60"/>
    </row>
    <row r="41" spans="1:10" ht="12.75">
      <c r="A41" s="33" t="s">
        <v>110</v>
      </c>
      <c r="B41" s="4"/>
      <c r="C41" s="65">
        <v>293092</v>
      </c>
      <c r="D41" s="6"/>
      <c r="E41" s="65">
        <v>316187</v>
      </c>
      <c r="H41" s="59"/>
      <c r="J41" s="60"/>
    </row>
    <row r="42" spans="1:10" ht="12.75">
      <c r="A42" s="33" t="s">
        <v>69</v>
      </c>
      <c r="B42" s="4"/>
      <c r="C42" s="65">
        <v>10532</v>
      </c>
      <c r="D42" s="6"/>
      <c r="E42" s="65">
        <v>75337</v>
      </c>
      <c r="H42" s="59"/>
      <c r="J42" s="60"/>
    </row>
    <row r="43" spans="1:10" ht="12.75">
      <c r="A43" s="33" t="s">
        <v>70</v>
      </c>
      <c r="B43" s="4"/>
      <c r="C43" s="65">
        <v>4062</v>
      </c>
      <c r="D43" s="6"/>
      <c r="E43" s="65">
        <v>44602</v>
      </c>
      <c r="H43" s="59"/>
      <c r="J43" s="60"/>
    </row>
    <row r="44" spans="1:10" ht="12.75">
      <c r="A44" s="4" t="s">
        <v>3</v>
      </c>
      <c r="B44" s="4"/>
      <c r="C44" s="65">
        <v>27177</v>
      </c>
      <c r="D44" s="6"/>
      <c r="E44" s="65">
        <v>26251</v>
      </c>
      <c r="H44" s="59"/>
      <c r="J44" s="60"/>
    </row>
    <row r="45" spans="1:10" ht="12.75">
      <c r="A45" s="4" t="s">
        <v>2</v>
      </c>
      <c r="B45" s="5"/>
      <c r="C45" s="69">
        <v>-177889</v>
      </c>
      <c r="D45" s="6"/>
      <c r="E45" s="69">
        <v>-227680</v>
      </c>
      <c r="G45" s="2"/>
      <c r="H45" s="59"/>
      <c r="J45" s="60"/>
    </row>
    <row r="46" spans="1:10" ht="12.75">
      <c r="A46" s="4"/>
      <c r="B46" s="4"/>
      <c r="C46" s="70">
        <f>SUM(C40:C45)</f>
        <v>743053</v>
      </c>
      <c r="D46" s="6"/>
      <c r="E46" s="70">
        <f>SUM(E40:E45)</f>
        <v>799300</v>
      </c>
      <c r="G46" s="2"/>
      <c r="H46" s="59"/>
      <c r="J46" s="60"/>
    </row>
    <row r="47" spans="1:10" ht="12.75">
      <c r="A47" s="3" t="s">
        <v>1</v>
      </c>
      <c r="B47" s="4"/>
      <c r="C47" s="70">
        <v>57563</v>
      </c>
      <c r="D47" s="6"/>
      <c r="E47" s="70">
        <v>58084</v>
      </c>
      <c r="H47" s="59"/>
      <c r="J47" s="60"/>
    </row>
    <row r="48" spans="1:10" ht="12.75">
      <c r="A48" s="3" t="s">
        <v>57</v>
      </c>
      <c r="B48" s="3"/>
      <c r="C48" s="71">
        <f>SUM(C46:C47)</f>
        <v>800616</v>
      </c>
      <c r="D48" s="6"/>
      <c r="E48" s="71">
        <f>+E46+E47</f>
        <v>857384</v>
      </c>
      <c r="H48" s="59"/>
      <c r="J48" s="60"/>
    </row>
    <row r="49" spans="1:10" ht="12.75">
      <c r="A49" s="4"/>
      <c r="B49" s="4"/>
      <c r="C49" s="5"/>
      <c r="D49" s="4"/>
      <c r="E49" s="5"/>
      <c r="J49" s="60"/>
    </row>
    <row r="50" spans="1:10" ht="12.75">
      <c r="A50" s="3" t="s">
        <v>81</v>
      </c>
      <c r="B50" s="4"/>
      <c r="C50" s="4"/>
      <c r="D50" s="4"/>
      <c r="E50" s="4"/>
      <c r="J50" s="60"/>
    </row>
    <row r="51" spans="1:10" ht="12.75">
      <c r="A51" s="4" t="s">
        <v>0</v>
      </c>
      <c r="B51" s="4"/>
      <c r="C51" s="64">
        <v>925</v>
      </c>
      <c r="D51" s="6"/>
      <c r="E51" s="64">
        <v>1279</v>
      </c>
      <c r="H51" s="59"/>
      <c r="J51" s="60"/>
    </row>
    <row r="52" spans="1:10" ht="12.75">
      <c r="A52" s="4" t="s">
        <v>38</v>
      </c>
      <c r="B52" s="4"/>
      <c r="C52" s="65">
        <v>176479</v>
      </c>
      <c r="D52" s="6"/>
      <c r="E52" s="65">
        <v>234169</v>
      </c>
      <c r="H52" s="59"/>
      <c r="J52" s="60"/>
    </row>
    <row r="53" spans="1:10" ht="12.75">
      <c r="A53" s="4" t="s">
        <v>47</v>
      </c>
      <c r="B53" s="4"/>
      <c r="C53" s="65">
        <v>20114</v>
      </c>
      <c r="D53" s="6"/>
      <c r="E53" s="65">
        <v>35876</v>
      </c>
      <c r="G53" s="2"/>
      <c r="H53" s="59"/>
      <c r="J53" s="60"/>
    </row>
    <row r="54" spans="1:10" ht="12.75">
      <c r="A54" s="4"/>
      <c r="B54" s="4"/>
      <c r="C54" s="66">
        <f>SUM(C51:C53)</f>
        <v>197518</v>
      </c>
      <c r="D54" s="6"/>
      <c r="E54" s="66">
        <f>SUM(E51:E53)</f>
        <v>271324</v>
      </c>
      <c r="H54" s="59"/>
      <c r="J54" s="60"/>
    </row>
    <row r="55" spans="1:10" ht="12.75">
      <c r="A55" s="4"/>
      <c r="B55" s="4"/>
      <c r="C55" s="70"/>
      <c r="D55" s="6"/>
      <c r="E55" s="70"/>
      <c r="J55" s="60"/>
    </row>
    <row r="56" spans="1:10" ht="12.75">
      <c r="A56" s="3" t="s">
        <v>82</v>
      </c>
      <c r="B56" s="4"/>
      <c r="C56" s="4"/>
      <c r="D56" s="4"/>
      <c r="E56" s="4"/>
      <c r="J56" s="60"/>
    </row>
    <row r="57" spans="1:10" ht="12.75">
      <c r="A57" s="4" t="s">
        <v>37</v>
      </c>
      <c r="B57" s="4"/>
      <c r="C57" s="64">
        <v>112</v>
      </c>
      <c r="D57" s="6"/>
      <c r="E57" s="64">
        <v>598</v>
      </c>
      <c r="G57" s="2"/>
      <c r="H57" s="59"/>
      <c r="J57" s="60"/>
    </row>
    <row r="58" spans="1:10" ht="12.75">
      <c r="A58" s="4" t="s">
        <v>38</v>
      </c>
      <c r="B58" s="4"/>
      <c r="C58" s="65">
        <v>76618</v>
      </c>
      <c r="D58" s="6"/>
      <c r="E58" s="65">
        <v>31268</v>
      </c>
      <c r="H58" s="59"/>
      <c r="J58" s="60"/>
    </row>
    <row r="59" spans="1:10" ht="12.75">
      <c r="A59" s="4" t="s">
        <v>75</v>
      </c>
      <c r="B59" s="4"/>
      <c r="C59" s="65">
        <f>1438-1285</f>
        <v>153</v>
      </c>
      <c r="D59" s="6"/>
      <c r="E59" s="65">
        <v>1165</v>
      </c>
      <c r="H59" s="59"/>
      <c r="J59" s="60"/>
    </row>
    <row r="60" spans="1:10" ht="12.75">
      <c r="A60" s="4" t="s">
        <v>5</v>
      </c>
      <c r="B60" s="4"/>
      <c r="C60" s="65">
        <v>67326</v>
      </c>
      <c r="D60" s="6"/>
      <c r="E60" s="65">
        <v>76773</v>
      </c>
      <c r="H60" s="59"/>
      <c r="J60" s="60"/>
    </row>
    <row r="61" spans="1:10" ht="12.75">
      <c r="A61" s="4" t="s">
        <v>76</v>
      </c>
      <c r="B61" s="4"/>
      <c r="C61" s="65">
        <v>1954</v>
      </c>
      <c r="D61" s="6"/>
      <c r="E61" s="65">
        <v>9754</v>
      </c>
      <c r="H61" s="59"/>
      <c r="J61" s="60"/>
    </row>
    <row r="62" spans="1:10" ht="12.75">
      <c r="A62" s="4"/>
      <c r="B62" s="4"/>
      <c r="C62" s="66">
        <f>SUM(C57:C61)</f>
        <v>146163</v>
      </c>
      <c r="D62" s="6"/>
      <c r="E62" s="66">
        <f>SUM(E57:E61)</f>
        <v>119558</v>
      </c>
      <c r="H62" s="59"/>
      <c r="J62" s="60"/>
    </row>
    <row r="63" spans="2:5" ht="12.75">
      <c r="B63" s="4"/>
      <c r="C63" s="4"/>
      <c r="D63" s="4"/>
      <c r="E63" s="4"/>
    </row>
    <row r="64" spans="1:8" ht="12.75">
      <c r="A64" s="3" t="s">
        <v>61</v>
      </c>
      <c r="B64" s="3"/>
      <c r="C64" s="5">
        <f>+C62+C54</f>
        <v>343681</v>
      </c>
      <c r="D64" s="3"/>
      <c r="E64" s="5">
        <f>+E54+E62</f>
        <v>390882</v>
      </c>
      <c r="H64" s="59"/>
    </row>
    <row r="65" spans="1:5" ht="12.75">
      <c r="A65" s="4"/>
      <c r="B65" s="4"/>
      <c r="C65" s="5"/>
      <c r="D65" s="4"/>
      <c r="E65" s="5"/>
    </row>
    <row r="66" spans="1:10" ht="13.5" thickBot="1">
      <c r="A66" s="3" t="s">
        <v>62</v>
      </c>
      <c r="B66" s="4"/>
      <c r="C66" s="67">
        <f>+C64+C48</f>
        <v>1144297</v>
      </c>
      <c r="D66" s="4"/>
      <c r="E66" s="67">
        <f>+E48+E64</f>
        <v>1248266</v>
      </c>
      <c r="H66" s="59"/>
      <c r="J66" s="59"/>
    </row>
    <row r="67" spans="1:5" ht="12.75">
      <c r="A67" s="4"/>
      <c r="B67" s="4"/>
      <c r="C67" s="4"/>
      <c r="D67" s="4"/>
      <c r="E67" s="4"/>
    </row>
    <row r="69" spans="3:5" ht="12.75">
      <c r="C69" s="41"/>
      <c r="D69" s="41"/>
      <c r="E69" s="41"/>
    </row>
    <row r="71" spans="3:5" ht="12.75">
      <c r="C71" s="43"/>
      <c r="E71" s="43"/>
    </row>
    <row r="72" spans="3:5" ht="12.75">
      <c r="C72" s="42"/>
      <c r="E72" s="2"/>
    </row>
  </sheetData>
  <printOptions horizontalCentered="1"/>
  <pageMargins left="0.6692913385826772" right="0.6692913385826772" top="0.4330708661417323" bottom="0.3937007874015748" header="0.5511811023622047" footer="0.1968503937007874"/>
  <pageSetup blackAndWhite="1" firstPageNumber="1" useFirstPageNumber="1" horizontalDpi="600" verticalDpi="600" orientation="portrait" scale="8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workbookViewId="0" topLeftCell="A1">
      <selection activeCell="C69" sqref="C69"/>
    </sheetView>
  </sheetViews>
  <sheetFormatPr defaultColWidth="9.140625" defaultRowHeight="12.75"/>
  <cols>
    <col min="1" max="1" width="39.7109375" style="1" customWidth="1"/>
    <col min="2" max="2" width="0.9921875" style="1" customWidth="1"/>
    <col min="3" max="3" width="14.57421875" style="1" customWidth="1"/>
    <col min="4" max="4" width="0.71875" style="1" customWidth="1"/>
    <col min="5" max="5" width="16.00390625" style="1" bestFit="1" customWidth="1"/>
    <col min="6" max="6" width="0.85546875" style="1" customWidth="1"/>
    <col min="7" max="7" width="17.7109375" style="1" bestFit="1" customWidth="1"/>
    <col min="8" max="8" width="1.1484375" style="1" customWidth="1"/>
    <col min="9" max="9" width="16.00390625" style="1" bestFit="1" customWidth="1"/>
    <col min="10" max="10" width="1.57421875" style="1" customWidth="1"/>
    <col min="11" max="11" width="0.42578125" style="1" customWidth="1"/>
    <col min="12" max="16" width="1.1484375" style="1" customWidth="1"/>
    <col min="17" max="48" width="12.421875" style="1" customWidth="1"/>
    <col min="49" max="16384" width="1.1484375" style="1" customWidth="1"/>
  </cols>
  <sheetData>
    <row r="1" spans="1:9" ht="15.75">
      <c r="A1" s="19" t="s">
        <v>95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38" t="s">
        <v>42</v>
      </c>
      <c r="B2" s="17"/>
      <c r="C2" s="17"/>
      <c r="D2" s="17"/>
      <c r="E2" s="17"/>
      <c r="F2" s="17"/>
      <c r="G2" s="17"/>
      <c r="H2" s="17"/>
      <c r="I2" s="17"/>
    </row>
    <row r="3" spans="1:10" ht="13.5" thickBot="1">
      <c r="A3" s="18"/>
      <c r="B3" s="18"/>
      <c r="C3" s="18"/>
      <c r="D3" s="18"/>
      <c r="E3" s="18"/>
      <c r="F3" s="18"/>
      <c r="G3" s="18"/>
      <c r="H3" s="18"/>
      <c r="I3" s="18"/>
      <c r="J3" s="20"/>
    </row>
    <row r="4" spans="1:9" ht="12.75">
      <c r="A4" s="21"/>
      <c r="B4" s="21"/>
      <c r="C4" s="21"/>
      <c r="D4" s="21"/>
      <c r="E4" s="21"/>
      <c r="F4" s="21"/>
      <c r="G4" s="21"/>
      <c r="H4" s="21"/>
      <c r="I4" s="21"/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14.25">
      <c r="A6" s="22" t="s">
        <v>44</v>
      </c>
      <c r="B6" s="23"/>
      <c r="C6" s="23"/>
      <c r="D6" s="23"/>
      <c r="E6" s="23"/>
      <c r="F6" s="23"/>
      <c r="G6" s="23"/>
      <c r="H6" s="23"/>
      <c r="I6" s="23"/>
    </row>
    <row r="7" ht="14.25">
      <c r="A7" s="22" t="s">
        <v>136</v>
      </c>
    </row>
    <row r="8" spans="1:10" ht="12.75">
      <c r="A8" s="23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23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4"/>
      <c r="B10" s="4"/>
      <c r="C10" s="115" t="s">
        <v>21</v>
      </c>
      <c r="D10" s="115"/>
      <c r="E10" s="115"/>
      <c r="F10" s="4"/>
      <c r="G10" s="115" t="s">
        <v>20</v>
      </c>
      <c r="H10" s="115"/>
      <c r="I10" s="115"/>
      <c r="J10" s="4"/>
    </row>
    <row r="11" spans="1:10" ht="12.75">
      <c r="A11" s="4"/>
      <c r="B11" s="4"/>
      <c r="C11" s="44"/>
      <c r="D11" s="3"/>
      <c r="E11" s="44" t="s">
        <v>51</v>
      </c>
      <c r="F11" s="4"/>
      <c r="G11" s="44"/>
      <c r="H11" s="3"/>
      <c r="I11" s="44" t="s">
        <v>51</v>
      </c>
      <c r="J11" s="4"/>
    </row>
    <row r="12" spans="1:10" ht="12.75">
      <c r="A12" s="4"/>
      <c r="B12" s="4"/>
      <c r="C12" s="44" t="s">
        <v>19</v>
      </c>
      <c r="D12" s="3"/>
      <c r="E12" s="44" t="s">
        <v>17</v>
      </c>
      <c r="F12" s="4"/>
      <c r="G12" s="44" t="s">
        <v>18</v>
      </c>
      <c r="H12" s="3"/>
      <c r="I12" s="44" t="s">
        <v>17</v>
      </c>
      <c r="J12" s="4"/>
    </row>
    <row r="13" spans="1:10" ht="12.75">
      <c r="A13" s="4"/>
      <c r="B13" s="4"/>
      <c r="C13" s="44" t="s">
        <v>16</v>
      </c>
      <c r="D13" s="3"/>
      <c r="E13" s="44" t="s">
        <v>16</v>
      </c>
      <c r="F13" s="4"/>
      <c r="G13" s="44" t="s">
        <v>85</v>
      </c>
      <c r="H13" s="3"/>
      <c r="I13" s="44" t="s">
        <v>86</v>
      </c>
      <c r="J13" s="4"/>
    </row>
    <row r="14" spans="1:10" ht="12.75">
      <c r="A14" s="4"/>
      <c r="B14" s="4"/>
      <c r="C14" s="72">
        <v>39994</v>
      </c>
      <c r="D14" s="3"/>
      <c r="E14" s="72">
        <v>39629</v>
      </c>
      <c r="F14" s="4"/>
      <c r="G14" s="72">
        <v>39994</v>
      </c>
      <c r="H14" s="3"/>
      <c r="I14" s="73">
        <v>39629</v>
      </c>
      <c r="J14" s="4"/>
    </row>
    <row r="15" spans="1:10" ht="12.75">
      <c r="A15" s="4"/>
      <c r="B15" s="4"/>
      <c r="C15" s="62" t="s">
        <v>11</v>
      </c>
      <c r="D15" s="4"/>
      <c r="E15" s="62" t="s">
        <v>11</v>
      </c>
      <c r="F15" s="4"/>
      <c r="G15" s="62" t="s">
        <v>11</v>
      </c>
      <c r="H15" s="4"/>
      <c r="I15" s="62" t="s">
        <v>11</v>
      </c>
      <c r="J15" s="4"/>
    </row>
    <row r="16" spans="1:10" ht="12.75">
      <c r="A16" s="4"/>
      <c r="B16" s="4"/>
      <c r="C16" s="63"/>
      <c r="D16" s="4"/>
      <c r="E16" s="63"/>
      <c r="F16" s="4"/>
      <c r="G16" s="63"/>
      <c r="H16" s="4"/>
      <c r="I16" s="63"/>
      <c r="J16" s="4"/>
    </row>
    <row r="17" spans="1:10" ht="12.75">
      <c r="A17" s="3" t="s">
        <v>96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5"/>
      <c r="D18" s="4"/>
      <c r="E18" s="74"/>
      <c r="F18" s="4"/>
      <c r="G18" s="4"/>
      <c r="H18" s="4"/>
      <c r="I18" s="75"/>
      <c r="J18" s="4"/>
    </row>
    <row r="19" spans="1:17" ht="12.75">
      <c r="A19" s="3" t="s">
        <v>14</v>
      </c>
      <c r="B19" s="4"/>
      <c r="C19" s="68">
        <f>99894-62384+29</f>
        <v>37539</v>
      </c>
      <c r="D19" s="75"/>
      <c r="E19" s="75">
        <f>174689-122890</f>
        <v>51799</v>
      </c>
      <c r="F19" s="75"/>
      <c r="G19" s="68">
        <f>99894+29</f>
        <v>99923</v>
      </c>
      <c r="H19" s="75"/>
      <c r="I19" s="75">
        <v>174689</v>
      </c>
      <c r="J19" s="4"/>
      <c r="Q19" s="41"/>
    </row>
    <row r="20" spans="1:10" ht="12.75">
      <c r="A20" s="4"/>
      <c r="B20" s="4"/>
      <c r="C20" s="68"/>
      <c r="D20" s="75"/>
      <c r="E20" s="75"/>
      <c r="F20" s="75"/>
      <c r="G20" s="68"/>
      <c r="H20" s="75"/>
      <c r="I20" s="75"/>
      <c r="J20" s="4"/>
    </row>
    <row r="21" spans="1:10" ht="12.75">
      <c r="A21" s="4" t="s">
        <v>65</v>
      </c>
      <c r="B21" s="4"/>
      <c r="C21" s="68">
        <f>-133264+97770+18489</f>
        <v>-17005</v>
      </c>
      <c r="D21" s="75"/>
      <c r="E21" s="75">
        <f>-124629+85651</f>
        <v>-38978</v>
      </c>
      <c r="F21" s="75"/>
      <c r="G21" s="68">
        <f>-133265+1+18489</f>
        <v>-114775</v>
      </c>
      <c r="H21" s="75"/>
      <c r="I21" s="75">
        <v>-124629</v>
      </c>
      <c r="J21" s="4"/>
    </row>
    <row r="22" spans="1:10" ht="12.75">
      <c r="A22" s="4"/>
      <c r="B22" s="4"/>
      <c r="C22" s="68"/>
      <c r="D22" s="75"/>
      <c r="E22" s="75"/>
      <c r="F22" s="75"/>
      <c r="G22" s="68"/>
      <c r="H22" s="75"/>
      <c r="I22" s="75"/>
      <c r="J22" s="4"/>
    </row>
    <row r="23" spans="1:10" ht="12.75">
      <c r="A23" s="4" t="s">
        <v>55</v>
      </c>
      <c r="B23" s="4"/>
      <c r="C23" s="68">
        <f>89875-88396-29+3</f>
        <v>1453</v>
      </c>
      <c r="D23" s="75"/>
      <c r="E23" s="75">
        <f>27353-13100</f>
        <v>14253</v>
      </c>
      <c r="F23" s="75"/>
      <c r="G23" s="68">
        <f>89850-1</f>
        <v>89849</v>
      </c>
      <c r="H23" s="75"/>
      <c r="I23" s="75">
        <v>27353</v>
      </c>
      <c r="J23" s="4"/>
    </row>
    <row r="24" spans="1:10" ht="12.75">
      <c r="A24" s="4"/>
      <c r="B24" s="4"/>
      <c r="C24" s="68"/>
      <c r="D24" s="75"/>
      <c r="E24" s="75"/>
      <c r="F24" s="75"/>
      <c r="G24" s="68"/>
      <c r="H24" s="75"/>
      <c r="I24" s="75"/>
      <c r="J24" s="4"/>
    </row>
    <row r="25" spans="1:10" ht="12.75">
      <c r="A25" s="4" t="s">
        <v>13</v>
      </c>
      <c r="B25" s="4"/>
      <c r="C25" s="68">
        <f>-20838+13459</f>
        <v>-7379</v>
      </c>
      <c r="D25" s="75"/>
      <c r="E25" s="75">
        <f>-18932+12800</f>
        <v>-6132</v>
      </c>
      <c r="F25" s="75"/>
      <c r="G25" s="68">
        <v>-20838</v>
      </c>
      <c r="H25" s="75"/>
      <c r="I25" s="75">
        <v>-18932</v>
      </c>
      <c r="J25" s="4"/>
    </row>
    <row r="26" spans="1:10" ht="12.75">
      <c r="A26" s="4"/>
      <c r="B26" s="4"/>
      <c r="C26" s="76"/>
      <c r="D26" s="75"/>
      <c r="E26" s="77"/>
      <c r="F26" s="75"/>
      <c r="G26" s="76"/>
      <c r="H26" s="75"/>
      <c r="I26" s="77"/>
      <c r="J26" s="4"/>
    </row>
    <row r="27" spans="1:10" ht="12.75">
      <c r="A27" s="4"/>
      <c r="B27" s="4"/>
      <c r="C27" s="68"/>
      <c r="D27" s="75"/>
      <c r="E27" s="75"/>
      <c r="F27" s="75"/>
      <c r="G27" s="68"/>
      <c r="H27" s="75"/>
      <c r="I27" s="75"/>
      <c r="J27" s="4"/>
    </row>
    <row r="28" spans="1:10" ht="12.75">
      <c r="A28" s="3" t="s">
        <v>164</v>
      </c>
      <c r="B28" s="4"/>
      <c r="C28" s="75">
        <f>SUM(C19:C27)</f>
        <v>14608</v>
      </c>
      <c r="D28" s="75"/>
      <c r="E28" s="75">
        <f>SUM(E19:E26)</f>
        <v>20942</v>
      </c>
      <c r="F28" s="75"/>
      <c r="G28" s="75">
        <f>SUM(G19:G27)</f>
        <v>54159</v>
      </c>
      <c r="H28" s="75"/>
      <c r="I28" s="75">
        <f>SUM(I19:I26)</f>
        <v>58481</v>
      </c>
      <c r="J28" s="4"/>
    </row>
    <row r="29" spans="1:10" ht="12.75">
      <c r="A29" s="4"/>
      <c r="B29" s="4"/>
      <c r="C29" s="68"/>
      <c r="D29" s="75"/>
      <c r="E29" s="75"/>
      <c r="F29" s="75"/>
      <c r="G29" s="68"/>
      <c r="H29" s="75"/>
      <c r="I29" s="75"/>
      <c r="J29" s="4"/>
    </row>
    <row r="30" spans="1:10" ht="12.75">
      <c r="A30" s="4" t="s">
        <v>163</v>
      </c>
      <c r="B30" s="4"/>
      <c r="C30" s="68">
        <f>11787+3207</f>
        <v>14994</v>
      </c>
      <c r="D30" s="75"/>
      <c r="E30" s="75">
        <f>-18862+9498</f>
        <v>-9364</v>
      </c>
      <c r="F30" s="75"/>
      <c r="G30" s="68">
        <v>11787</v>
      </c>
      <c r="H30" s="75"/>
      <c r="I30" s="75">
        <v>-18862</v>
      </c>
      <c r="J30" s="4"/>
    </row>
    <row r="31" spans="1:10" ht="12.75">
      <c r="A31" s="4"/>
      <c r="B31" s="4"/>
      <c r="C31" s="76"/>
      <c r="D31" s="75"/>
      <c r="E31" s="77"/>
      <c r="F31" s="75"/>
      <c r="G31" s="76"/>
      <c r="H31" s="75"/>
      <c r="I31" s="77"/>
      <c r="J31" s="4"/>
    </row>
    <row r="32" spans="2:10" ht="12.75">
      <c r="B32" s="4"/>
      <c r="C32" s="68"/>
      <c r="D32" s="75"/>
      <c r="E32" s="75"/>
      <c r="F32" s="75"/>
      <c r="G32" s="68"/>
      <c r="H32" s="75"/>
      <c r="I32" s="75"/>
      <c r="J32" s="4"/>
    </row>
    <row r="33" spans="1:10" ht="12.75">
      <c r="A33" s="3" t="s">
        <v>143</v>
      </c>
      <c r="B33" s="4"/>
      <c r="C33" s="68">
        <f>+C30+C28</f>
        <v>29602</v>
      </c>
      <c r="D33" s="75"/>
      <c r="E33" s="68">
        <f>SUM(E27:E31)</f>
        <v>11578</v>
      </c>
      <c r="F33" s="75"/>
      <c r="G33" s="68">
        <f>+G30+G28</f>
        <v>65946</v>
      </c>
      <c r="H33" s="75"/>
      <c r="I33" s="68">
        <f>SUM(I27:I31)</f>
        <v>39619</v>
      </c>
      <c r="J33" s="4"/>
    </row>
    <row r="34" spans="2:10" ht="12.75">
      <c r="B34" s="4"/>
      <c r="C34" s="78"/>
      <c r="D34" s="78"/>
      <c r="E34" s="78"/>
      <c r="F34" s="78"/>
      <c r="G34" s="78"/>
      <c r="H34" s="78"/>
      <c r="I34" s="78"/>
      <c r="J34" s="4"/>
    </row>
    <row r="35" spans="1:10" ht="12.75">
      <c r="A35" s="3" t="s">
        <v>97</v>
      </c>
      <c r="B35" s="4"/>
      <c r="C35" s="75"/>
      <c r="D35" s="75"/>
      <c r="E35" s="75"/>
      <c r="F35" s="75"/>
      <c r="G35" s="75"/>
      <c r="H35" s="75"/>
      <c r="I35" s="75"/>
      <c r="J35" s="4"/>
    </row>
    <row r="36" spans="2:10" ht="12.75">
      <c r="B36" s="4"/>
      <c r="C36" s="75"/>
      <c r="D36" s="75"/>
      <c r="E36" s="75"/>
      <c r="F36" s="75"/>
      <c r="G36" s="75"/>
      <c r="H36" s="75"/>
      <c r="I36" s="75"/>
      <c r="J36" s="4"/>
    </row>
    <row r="37" spans="1:10" ht="12.75">
      <c r="A37" s="4" t="s">
        <v>144</v>
      </c>
      <c r="B37" s="4"/>
      <c r="C37" s="75">
        <v>0</v>
      </c>
      <c r="D37" s="75"/>
      <c r="E37" s="75">
        <f>-2581+2308</f>
        <v>-273</v>
      </c>
      <c r="F37" s="75"/>
      <c r="G37" s="75">
        <v>0</v>
      </c>
      <c r="H37" s="75"/>
      <c r="I37" s="75">
        <v>-2581</v>
      </c>
      <c r="J37" s="4"/>
    </row>
    <row r="38" spans="1:10" ht="12.75">
      <c r="A38" s="4"/>
      <c r="B38" s="4"/>
      <c r="C38" s="77"/>
      <c r="D38" s="75"/>
      <c r="E38" s="77"/>
      <c r="F38" s="75"/>
      <c r="G38" s="77"/>
      <c r="H38" s="75"/>
      <c r="I38" s="77"/>
      <c r="J38" s="4"/>
    </row>
    <row r="39" spans="1:10" ht="12.75">
      <c r="A39" s="4"/>
      <c r="B39" s="4"/>
      <c r="C39" s="75"/>
      <c r="D39" s="75"/>
      <c r="E39" s="75"/>
      <c r="F39" s="75"/>
      <c r="G39" s="75"/>
      <c r="H39" s="75"/>
      <c r="I39" s="75"/>
      <c r="J39" s="4"/>
    </row>
    <row r="40" spans="1:10" ht="13.5" thickBot="1">
      <c r="A40" s="4"/>
      <c r="B40" s="4"/>
      <c r="C40" s="79">
        <f>SUM(C33:C37)</f>
        <v>29602</v>
      </c>
      <c r="D40" s="75"/>
      <c r="E40" s="79">
        <f>SUM(E33:E38)</f>
        <v>11305</v>
      </c>
      <c r="F40" s="75"/>
      <c r="G40" s="79">
        <f>SUM(G33:G37)</f>
        <v>65946</v>
      </c>
      <c r="H40" s="75"/>
      <c r="I40" s="79">
        <f>SUM(I33:I38)</f>
        <v>37038</v>
      </c>
      <c r="J40" s="4"/>
    </row>
    <row r="41" spans="1:10" ht="12.75">
      <c r="A41" s="4"/>
      <c r="B41" s="4"/>
      <c r="C41" s="78"/>
      <c r="D41" s="75"/>
      <c r="E41" s="78"/>
      <c r="F41" s="75"/>
      <c r="G41" s="78"/>
      <c r="H41" s="75"/>
      <c r="I41" s="78"/>
      <c r="J41" s="4"/>
    </row>
    <row r="42" spans="1:10" ht="12.75">
      <c r="A42" s="4" t="s">
        <v>56</v>
      </c>
      <c r="B42" s="4"/>
      <c r="C42" s="75"/>
      <c r="D42" s="75"/>
      <c r="E42" s="75"/>
      <c r="F42" s="75"/>
      <c r="G42" s="75"/>
      <c r="H42" s="75"/>
      <c r="I42" s="75"/>
      <c r="J42" s="4"/>
    </row>
    <row r="43" spans="1:10" ht="12.75">
      <c r="A43" s="4"/>
      <c r="B43" s="4"/>
      <c r="C43" s="75"/>
      <c r="D43" s="75"/>
      <c r="E43" s="75"/>
      <c r="F43" s="75"/>
      <c r="G43" s="75"/>
      <c r="H43" s="75"/>
      <c r="I43" s="75"/>
      <c r="J43" s="4"/>
    </row>
    <row r="44" spans="1:10" ht="12.75">
      <c r="A44" s="4" t="s">
        <v>87</v>
      </c>
      <c r="B44" s="4"/>
      <c r="C44" s="68">
        <f>C40-C46</f>
        <v>29705</v>
      </c>
      <c r="D44" s="75"/>
      <c r="E44" s="68">
        <f>37672-26198</f>
        <v>11474</v>
      </c>
      <c r="F44" s="75"/>
      <c r="G44" s="68">
        <f>G40-G46</f>
        <v>66467</v>
      </c>
      <c r="H44" s="75"/>
      <c r="I44" s="68">
        <v>37672</v>
      </c>
      <c r="J44" s="4"/>
    </row>
    <row r="45" spans="1:10" ht="12.75">
      <c r="A45" s="4"/>
      <c r="B45" s="4"/>
      <c r="C45" s="68"/>
      <c r="D45" s="75"/>
      <c r="E45" s="75"/>
      <c r="F45" s="75"/>
      <c r="G45" s="68"/>
      <c r="H45" s="75"/>
      <c r="I45" s="75"/>
      <c r="J45" s="4"/>
    </row>
    <row r="46" spans="1:10" ht="12.75">
      <c r="A46" s="4" t="s">
        <v>1</v>
      </c>
      <c r="B46" s="4"/>
      <c r="C46" s="68">
        <f>-521+418</f>
        <v>-103</v>
      </c>
      <c r="D46" s="75"/>
      <c r="E46" s="68">
        <f>-634+465</f>
        <v>-169</v>
      </c>
      <c r="F46" s="75"/>
      <c r="G46" s="68">
        <v>-521</v>
      </c>
      <c r="H46" s="75"/>
      <c r="I46" s="75">
        <v>-634</v>
      </c>
      <c r="J46" s="4"/>
    </row>
    <row r="47" spans="1:10" ht="12.75">
      <c r="A47" s="4"/>
      <c r="B47" s="4"/>
      <c r="C47" s="77"/>
      <c r="D47" s="75"/>
      <c r="E47" s="77"/>
      <c r="F47" s="75"/>
      <c r="G47" s="77"/>
      <c r="H47" s="75"/>
      <c r="I47" s="77"/>
      <c r="J47" s="4"/>
    </row>
    <row r="48" spans="1:10" ht="12.75">
      <c r="A48" s="4"/>
      <c r="B48" s="4"/>
      <c r="C48" s="75"/>
      <c r="D48" s="75"/>
      <c r="E48" s="75"/>
      <c r="F48" s="75"/>
      <c r="G48" s="75"/>
      <c r="H48" s="75"/>
      <c r="I48" s="75"/>
      <c r="J48" s="4"/>
    </row>
    <row r="49" spans="1:10" ht="12.75">
      <c r="A49" s="4"/>
      <c r="B49" s="4"/>
      <c r="C49" s="75">
        <f>+C46+C44</f>
        <v>29602</v>
      </c>
      <c r="D49" s="75"/>
      <c r="E49" s="75">
        <f>SUM(E44:E47)</f>
        <v>11305</v>
      </c>
      <c r="F49" s="75"/>
      <c r="G49" s="75">
        <f>+G46+G44</f>
        <v>65946</v>
      </c>
      <c r="H49" s="75"/>
      <c r="I49" s="75">
        <f>SUM(I44:I47)</f>
        <v>37038</v>
      </c>
      <c r="J49" s="4"/>
    </row>
    <row r="50" spans="1:10" ht="13.5" thickBot="1">
      <c r="A50" s="4"/>
      <c r="B50" s="4"/>
      <c r="C50" s="80"/>
      <c r="D50" s="4"/>
      <c r="E50" s="80"/>
      <c r="F50" s="4"/>
      <c r="G50" s="80"/>
      <c r="H50" s="4"/>
      <c r="I50" s="80"/>
      <c r="J50" s="4"/>
    </row>
    <row r="51" spans="1:10" ht="12.75">
      <c r="A51" s="4"/>
      <c r="B51" s="4"/>
      <c r="C51" s="5"/>
      <c r="D51" s="4"/>
      <c r="E51" s="4"/>
      <c r="F51" s="4"/>
      <c r="G51" s="4"/>
      <c r="H51" s="4"/>
      <c r="I51" s="4"/>
      <c r="J51" s="4"/>
    </row>
    <row r="52" spans="1:10" ht="12.75">
      <c r="A52" s="4" t="s">
        <v>98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 t="s">
        <v>99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 t="s">
        <v>112</v>
      </c>
      <c r="B55" s="4"/>
      <c r="C55" s="81">
        <f>1.96*0+5.2</f>
        <v>5.2</v>
      </c>
      <c r="D55" s="6"/>
      <c r="E55" s="82">
        <f>7.13-5.05</f>
        <v>2.08</v>
      </c>
      <c r="F55" s="6"/>
      <c r="G55" s="81">
        <f>8.47*0+11.74</f>
        <v>11.74</v>
      </c>
      <c r="H55" s="6"/>
      <c r="I55" s="82">
        <v>7.13</v>
      </c>
      <c r="J55" s="6"/>
    </row>
    <row r="56" spans="1:10" ht="12.75">
      <c r="A56" s="4"/>
      <c r="B56" s="4"/>
      <c r="C56" s="83"/>
      <c r="D56" s="6"/>
      <c r="E56" s="6"/>
      <c r="F56" s="6"/>
      <c r="G56" s="83"/>
      <c r="H56" s="6"/>
      <c r="I56" s="84"/>
      <c r="J56" s="6"/>
    </row>
    <row r="57" spans="1:10" ht="12.75">
      <c r="A57" s="4" t="s">
        <v>100</v>
      </c>
      <c r="B57" s="4"/>
      <c r="C57" s="85">
        <f>+C37/564603*100</f>
        <v>0</v>
      </c>
      <c r="D57" s="86"/>
      <c r="E57" s="87">
        <f>-0.46+0.41</f>
        <v>-0.050000000000000044</v>
      </c>
      <c r="F57" s="86"/>
      <c r="G57" s="85">
        <f>+G37/564603*100</f>
        <v>0</v>
      </c>
      <c r="H57" s="6"/>
      <c r="I57" s="87">
        <v>-0.46</v>
      </c>
      <c r="J57" s="6"/>
    </row>
    <row r="58" spans="1:10" ht="12.75">
      <c r="A58" s="4"/>
      <c r="B58" s="4"/>
      <c r="C58" s="88"/>
      <c r="D58" s="4"/>
      <c r="E58" s="88"/>
      <c r="F58" s="4"/>
      <c r="G58" s="89"/>
      <c r="H58" s="4"/>
      <c r="I58" s="88"/>
      <c r="J58" s="4"/>
    </row>
    <row r="59" spans="1:10" ht="13.5" thickBot="1">
      <c r="A59" s="4" t="s">
        <v>145</v>
      </c>
      <c r="B59" s="4"/>
      <c r="C59" s="90">
        <f>SUM(C55:C58)</f>
        <v>5.2</v>
      </c>
      <c r="D59" s="4"/>
      <c r="E59" s="90">
        <f>SUM(E55:E58)</f>
        <v>2.0300000000000002</v>
      </c>
      <c r="F59" s="4"/>
      <c r="G59" s="90">
        <f>SUM(G55:G58)</f>
        <v>11.74</v>
      </c>
      <c r="H59" s="4"/>
      <c r="I59" s="90">
        <f>+I55+I57</f>
        <v>6.67</v>
      </c>
      <c r="J59" s="4"/>
    </row>
    <row r="60" spans="1:10" ht="12.75">
      <c r="A60" s="4"/>
      <c r="B60" s="4"/>
      <c r="C60" s="81"/>
      <c r="D60" s="4"/>
      <c r="E60" s="81"/>
      <c r="F60" s="4"/>
      <c r="G60" s="91"/>
      <c r="H60" s="4"/>
      <c r="I60" s="81"/>
      <c r="J60" s="4"/>
    </row>
    <row r="61" spans="1:10" ht="12.75">
      <c r="A61" s="4" t="s">
        <v>113</v>
      </c>
      <c r="B61" s="4"/>
      <c r="C61" s="92">
        <f>1.34*0+3.46</f>
        <v>3.46</v>
      </c>
      <c r="D61" s="6"/>
      <c r="E61" s="81">
        <f>4.29-3.06+0.01</f>
        <v>1.24</v>
      </c>
      <c r="F61" s="6"/>
      <c r="G61" s="92">
        <f>5.76*0+7.89</f>
        <v>7.89</v>
      </c>
      <c r="H61" s="6"/>
      <c r="I61" s="82">
        <v>4.29</v>
      </c>
      <c r="J61" s="4"/>
    </row>
    <row r="62" spans="1:10" ht="12.75">
      <c r="A62" s="4"/>
      <c r="B62" s="4"/>
      <c r="C62" s="6"/>
      <c r="D62" s="6"/>
      <c r="E62" s="6"/>
      <c r="F62" s="6"/>
      <c r="G62" s="6"/>
      <c r="H62" s="6"/>
      <c r="I62" s="84"/>
      <c r="J62" s="4"/>
    </row>
    <row r="63" spans="1:10" ht="12.75">
      <c r="A63" s="4" t="s">
        <v>101</v>
      </c>
      <c r="B63" s="4"/>
      <c r="C63" s="87">
        <f>+(C37/'[1]EPS quarterly'!$J$169*0.001)*100</f>
        <v>0</v>
      </c>
      <c r="D63" s="86"/>
      <c r="E63" s="87">
        <f>-0.25+0.22</f>
        <v>-0.03</v>
      </c>
      <c r="F63" s="86"/>
      <c r="G63" s="85">
        <f>+G37/('[1]EPS Yearly'!$J$170*0.001)*100</f>
        <v>0</v>
      </c>
      <c r="H63" s="6"/>
      <c r="I63" s="87">
        <v>-0.25</v>
      </c>
      <c r="J63" s="4"/>
    </row>
    <row r="64" spans="1:10" ht="12.75">
      <c r="A64" s="4"/>
      <c r="B64" s="4"/>
      <c r="C64" s="88"/>
      <c r="D64" s="4"/>
      <c r="E64" s="88"/>
      <c r="F64" s="4"/>
      <c r="G64" s="88"/>
      <c r="H64" s="4"/>
      <c r="I64" s="88"/>
      <c r="J64" s="4"/>
    </row>
    <row r="65" spans="1:10" ht="13.5" thickBot="1">
      <c r="A65" s="4" t="s">
        <v>146</v>
      </c>
      <c r="B65" s="4"/>
      <c r="C65" s="93">
        <f>SUM(C61:C64)</f>
        <v>3.46</v>
      </c>
      <c r="D65" s="4"/>
      <c r="E65" s="90">
        <f>SUM(E60:E64)</f>
        <v>1.21</v>
      </c>
      <c r="F65" s="4"/>
      <c r="G65" s="93">
        <f>SUM(G61:G64)</f>
        <v>7.89</v>
      </c>
      <c r="H65" s="4"/>
      <c r="I65" s="90">
        <f>SUM(I60:I64)</f>
        <v>4.04</v>
      </c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72" spans="2:10" ht="12.75">
      <c r="B72" s="15"/>
      <c r="C72" s="15"/>
      <c r="D72" s="15"/>
      <c r="E72" s="15"/>
      <c r="F72" s="15"/>
      <c r="G72" s="15"/>
      <c r="H72" s="15"/>
      <c r="I72" s="15"/>
      <c r="J72" s="15"/>
    </row>
    <row r="74" spans="2:10" ht="12.75">
      <c r="B74" s="15"/>
      <c r="C74" s="15"/>
      <c r="D74" s="15"/>
      <c r="E74" s="15"/>
      <c r="F74" s="15"/>
      <c r="G74" s="15"/>
      <c r="H74" s="15"/>
      <c r="I74" s="15"/>
      <c r="J74" s="15"/>
    </row>
  </sheetData>
  <mergeCells count="2">
    <mergeCell ref="C10:E10"/>
    <mergeCell ref="G10:I10"/>
  </mergeCells>
  <printOptions horizontalCentered="1"/>
  <pageMargins left="0.7874015748031497" right="0.3937007874015748" top="0.35433070866141736" bottom="0.5118110236220472" header="0.2755905511811024" footer="0.2755905511811024"/>
  <pageSetup blackAndWhite="1" firstPageNumber="2" useFirstPageNumber="1" fitToHeight="1" fitToWidth="1" horizontalDpi="600" verticalDpi="600" orientation="portrait" scale="8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A14" sqref="A14"/>
    </sheetView>
  </sheetViews>
  <sheetFormatPr defaultColWidth="9.140625" defaultRowHeight="12.75"/>
  <cols>
    <col min="1" max="1" width="32.140625" style="34" customWidth="1"/>
    <col min="2" max="2" width="8.7109375" style="34" customWidth="1"/>
    <col min="3" max="3" width="1.1484375" style="34" customWidth="1"/>
    <col min="4" max="4" width="9.8515625" style="34" customWidth="1"/>
    <col min="5" max="5" width="1.28515625" style="34" customWidth="1"/>
    <col min="6" max="6" width="8.7109375" style="34" customWidth="1"/>
    <col min="7" max="7" width="1.28515625" style="34" customWidth="1"/>
    <col min="8" max="8" width="9.00390625" style="34" customWidth="1"/>
    <col min="9" max="9" width="1.1484375" style="34" customWidth="1"/>
    <col min="10" max="10" width="9.7109375" style="34" customWidth="1"/>
    <col min="11" max="11" width="1.1484375" style="34" customWidth="1"/>
    <col min="12" max="12" width="11.421875" style="34" customWidth="1"/>
    <col min="13" max="13" width="1.421875" style="34" customWidth="1"/>
    <col min="14" max="14" width="10.7109375" style="34" customWidth="1"/>
    <col min="15" max="15" width="1.1484375" style="34" customWidth="1"/>
    <col min="16" max="16" width="9.57421875" style="34" customWidth="1"/>
    <col min="17" max="17" width="1.28515625" style="34" customWidth="1"/>
    <col min="18" max="18" width="10.28125" style="34" customWidth="1"/>
    <col min="19" max="25" width="1.28515625" style="34" customWidth="1"/>
    <col min="26" max="16384" width="9.140625" style="35" customWidth="1"/>
  </cols>
  <sheetData>
    <row r="1" spans="1:17" ht="15.75">
      <c r="A1" s="19" t="s">
        <v>95</v>
      </c>
      <c r="B1" s="1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39"/>
      <c r="Q1" s="39"/>
    </row>
    <row r="2" spans="1:17" ht="15">
      <c r="A2" s="38" t="s">
        <v>42</v>
      </c>
      <c r="B2" s="1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2" ht="13.5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50"/>
      <c r="T3" s="50"/>
      <c r="U3" s="50"/>
      <c r="V3" s="50"/>
    </row>
    <row r="4" spans="1:2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1"/>
      <c r="Q4" s="51"/>
      <c r="R4" s="50"/>
      <c r="S4" s="50"/>
      <c r="T4" s="50"/>
      <c r="U4" s="50"/>
      <c r="V4" s="50"/>
    </row>
    <row r="5" spans="1:22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51"/>
      <c r="Q5" s="51"/>
      <c r="R5" s="50"/>
      <c r="S5" s="50"/>
      <c r="T5" s="50"/>
      <c r="U5" s="50"/>
      <c r="V5" s="50"/>
    </row>
    <row r="6" ht="12.75">
      <c r="A6" s="52" t="s">
        <v>43</v>
      </c>
    </row>
    <row r="7" ht="12.75">
      <c r="A7" s="52" t="s">
        <v>136</v>
      </c>
    </row>
    <row r="8" spans="1:12" ht="12.75">
      <c r="A8" s="53"/>
      <c r="L8" s="34" t="s">
        <v>111</v>
      </c>
    </row>
    <row r="9" spans="1:17" ht="12.75">
      <c r="A9" s="53"/>
      <c r="Q9" s="9"/>
    </row>
    <row r="10" spans="1:17" ht="12.75">
      <c r="A10" s="53"/>
      <c r="B10" s="116" t="s">
        <v>88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46"/>
      <c r="N10" s="46"/>
      <c r="Q10" s="9"/>
    </row>
    <row r="11" spans="1:25" ht="12.75">
      <c r="A11" s="33"/>
      <c r="B11" s="33"/>
      <c r="C11" s="33"/>
      <c r="D11" s="33"/>
      <c r="E11" s="33"/>
      <c r="F11" s="33"/>
      <c r="G11" s="33"/>
      <c r="H11" s="33"/>
      <c r="I11" s="33"/>
      <c r="J11" s="44"/>
      <c r="K11" s="44"/>
      <c r="L11" s="33"/>
      <c r="M11" s="33"/>
      <c r="N11" s="44"/>
      <c r="S11" s="33"/>
      <c r="T11" s="33"/>
      <c r="X11" s="33"/>
      <c r="Y11" s="33"/>
    </row>
    <row r="12" spans="1:25" ht="12.75">
      <c r="A12" s="33"/>
      <c r="B12" s="115" t="s">
        <v>89</v>
      </c>
      <c r="C12" s="115"/>
      <c r="D12" s="115"/>
      <c r="E12" s="115"/>
      <c r="F12" s="115"/>
      <c r="G12" s="115"/>
      <c r="H12" s="115"/>
      <c r="I12" s="115"/>
      <c r="J12" s="115"/>
      <c r="K12" s="44"/>
      <c r="L12" s="33"/>
      <c r="M12" s="33"/>
      <c r="N12" s="44"/>
      <c r="S12" s="33"/>
      <c r="T12" s="33"/>
      <c r="X12" s="33"/>
      <c r="Y12" s="33"/>
    </row>
    <row r="13" spans="1:25" ht="12.75">
      <c r="A13" s="3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33"/>
      <c r="M13" s="33"/>
      <c r="N13" s="44"/>
      <c r="S13" s="33"/>
      <c r="T13" s="33"/>
      <c r="X13" s="33"/>
      <c r="Y13" s="33"/>
    </row>
    <row r="14" spans="1:25" ht="12.75">
      <c r="A14" s="33"/>
      <c r="B14" s="44"/>
      <c r="C14" s="44"/>
      <c r="D14" s="44" t="s">
        <v>64</v>
      </c>
      <c r="E14" s="44"/>
      <c r="F14" s="44" t="s">
        <v>64</v>
      </c>
      <c r="G14" s="63"/>
      <c r="H14" s="44" t="s">
        <v>64</v>
      </c>
      <c r="I14" s="44"/>
      <c r="J14" s="44"/>
      <c r="K14" s="44"/>
      <c r="L14" s="33"/>
      <c r="M14" s="33"/>
      <c r="N14" s="44" t="s">
        <v>15</v>
      </c>
      <c r="S14" s="33"/>
      <c r="T14" s="33"/>
      <c r="X14" s="33"/>
      <c r="Y14" s="33"/>
    </row>
    <row r="15" spans="1:25" ht="12.75">
      <c r="A15" s="33"/>
      <c r="B15" s="44" t="s">
        <v>35</v>
      </c>
      <c r="C15" s="44"/>
      <c r="D15" s="52" t="s">
        <v>90</v>
      </c>
      <c r="E15" s="52"/>
      <c r="F15" s="52" t="s">
        <v>90</v>
      </c>
      <c r="G15" s="94"/>
      <c r="H15" s="52" t="s">
        <v>90</v>
      </c>
      <c r="I15" s="63"/>
      <c r="J15" s="44"/>
      <c r="K15" s="63"/>
      <c r="L15" s="44" t="s">
        <v>34</v>
      </c>
      <c r="M15" s="63"/>
      <c r="N15" s="53" t="s">
        <v>94</v>
      </c>
      <c r="P15" s="46" t="s">
        <v>63</v>
      </c>
      <c r="R15" s="46" t="s">
        <v>15</v>
      </c>
      <c r="T15" s="33"/>
      <c r="X15" s="33"/>
      <c r="Y15" s="33"/>
    </row>
    <row r="16" spans="1:24" ht="12.75">
      <c r="A16" s="33"/>
      <c r="B16" s="44" t="s">
        <v>33</v>
      </c>
      <c r="C16" s="63"/>
      <c r="D16" s="44" t="s">
        <v>91</v>
      </c>
      <c r="E16" s="44"/>
      <c r="F16" s="44" t="s">
        <v>92</v>
      </c>
      <c r="G16" s="63"/>
      <c r="H16" s="44" t="s">
        <v>93</v>
      </c>
      <c r="I16" s="63"/>
      <c r="J16" s="44" t="s">
        <v>3</v>
      </c>
      <c r="K16" s="63"/>
      <c r="L16" s="44" t="s">
        <v>32</v>
      </c>
      <c r="M16" s="63"/>
      <c r="N16" s="44" t="s">
        <v>64</v>
      </c>
      <c r="P16" s="46" t="s">
        <v>139</v>
      </c>
      <c r="R16" s="46" t="s">
        <v>64</v>
      </c>
      <c r="T16" s="33"/>
      <c r="X16" s="33"/>
    </row>
    <row r="17" spans="1:24" ht="12.75">
      <c r="A17" s="33"/>
      <c r="B17" s="62" t="s">
        <v>11</v>
      </c>
      <c r="C17" s="63"/>
      <c r="D17" s="62" t="s">
        <v>11</v>
      </c>
      <c r="E17" s="63"/>
      <c r="F17" s="62" t="s">
        <v>11</v>
      </c>
      <c r="G17" s="63"/>
      <c r="H17" s="62" t="s">
        <v>11</v>
      </c>
      <c r="I17" s="63"/>
      <c r="J17" s="62" t="s">
        <v>11</v>
      </c>
      <c r="K17" s="63"/>
      <c r="L17" s="62" t="s">
        <v>11</v>
      </c>
      <c r="M17" s="63"/>
      <c r="N17" s="62" t="s">
        <v>11</v>
      </c>
      <c r="P17" s="62" t="s">
        <v>11</v>
      </c>
      <c r="R17" s="62" t="s">
        <v>11</v>
      </c>
      <c r="T17" s="33"/>
      <c r="X17" s="33"/>
    </row>
    <row r="18" spans="1:24" ht="12.75">
      <c r="A18" s="95" t="s">
        <v>124</v>
      </c>
      <c r="B18" s="33"/>
      <c r="C18" s="36"/>
      <c r="D18" s="36"/>
      <c r="E18" s="36"/>
      <c r="F18" s="36"/>
      <c r="G18" s="36"/>
      <c r="H18" s="36"/>
      <c r="I18" s="36"/>
      <c r="J18" s="33"/>
      <c r="K18" s="36"/>
      <c r="L18" s="33"/>
      <c r="M18" s="36"/>
      <c r="N18" s="33"/>
      <c r="T18" s="33"/>
      <c r="X18" s="33"/>
    </row>
    <row r="19" spans="1:24" ht="12.75">
      <c r="A19" s="95"/>
      <c r="B19" s="33"/>
      <c r="C19" s="36"/>
      <c r="D19" s="36"/>
      <c r="E19" s="36"/>
      <c r="F19" s="36"/>
      <c r="G19" s="36"/>
      <c r="H19" s="36"/>
      <c r="I19" s="36"/>
      <c r="J19" s="33"/>
      <c r="K19" s="36"/>
      <c r="L19" s="33"/>
      <c r="M19" s="36"/>
      <c r="N19" s="33"/>
      <c r="T19" s="33"/>
      <c r="X19" s="33"/>
    </row>
    <row r="20" spans="1:24" ht="12.75">
      <c r="A20" s="53" t="s">
        <v>109</v>
      </c>
      <c r="B20" s="54">
        <v>564603</v>
      </c>
      <c r="C20" s="55"/>
      <c r="D20" s="55">
        <v>316187</v>
      </c>
      <c r="E20" s="55"/>
      <c r="F20" s="55">
        <v>75337</v>
      </c>
      <c r="G20" s="55"/>
      <c r="H20" s="55">
        <v>44602</v>
      </c>
      <c r="I20" s="55"/>
      <c r="J20" s="54">
        <f>12429+13822</f>
        <v>26251</v>
      </c>
      <c r="K20" s="55"/>
      <c r="L20" s="54">
        <v>-227680</v>
      </c>
      <c r="M20" s="55"/>
      <c r="N20" s="54">
        <f>SUM(B20:M20)</f>
        <v>799300</v>
      </c>
      <c r="P20" s="56">
        <v>58084</v>
      </c>
      <c r="R20" s="12">
        <f>+P20+N20</f>
        <v>857384</v>
      </c>
      <c r="T20" s="33"/>
      <c r="X20" s="33"/>
    </row>
    <row r="21" spans="1:24" ht="12.75">
      <c r="A21" s="53"/>
      <c r="B21" s="54"/>
      <c r="C21" s="55"/>
      <c r="D21" s="55"/>
      <c r="E21" s="55"/>
      <c r="F21" s="55"/>
      <c r="G21" s="55"/>
      <c r="H21" s="55"/>
      <c r="I21" s="55"/>
      <c r="J21" s="54"/>
      <c r="K21" s="55"/>
      <c r="L21" s="54"/>
      <c r="M21" s="55"/>
      <c r="N21" s="54"/>
      <c r="P21" s="56"/>
      <c r="R21" s="12"/>
      <c r="T21" s="33"/>
      <c r="X21" s="33"/>
    </row>
    <row r="22" spans="1:24" ht="12.75">
      <c r="A22" s="96" t="s">
        <v>147</v>
      </c>
      <c r="B22" s="54">
        <v>0</v>
      </c>
      <c r="C22" s="55"/>
      <c r="D22" s="55">
        <v>-793</v>
      </c>
      <c r="E22" s="55"/>
      <c r="F22" s="55">
        <f>-64722+1</f>
        <v>-64721</v>
      </c>
      <c r="G22" s="55"/>
      <c r="H22" s="55">
        <v>-40540</v>
      </c>
      <c r="I22" s="55"/>
      <c r="J22" s="54">
        <v>0</v>
      </c>
      <c r="K22" s="55"/>
      <c r="L22" s="54">
        <f>-18489</f>
        <v>-18489</v>
      </c>
      <c r="M22" s="55"/>
      <c r="N22" s="54">
        <f>SUM(B22:M22)</f>
        <v>-124543</v>
      </c>
      <c r="P22" s="56">
        <v>0</v>
      </c>
      <c r="R22" s="12">
        <f>+P22+N22</f>
        <v>-124543</v>
      </c>
      <c r="T22" s="33"/>
      <c r="X22" s="33"/>
    </row>
    <row r="23" spans="1:24" ht="12.75">
      <c r="A23" s="53"/>
      <c r="B23" s="54"/>
      <c r="C23" s="55"/>
      <c r="D23" s="55"/>
      <c r="E23" s="55"/>
      <c r="F23" s="55"/>
      <c r="G23" s="55"/>
      <c r="H23" s="55"/>
      <c r="I23" s="55"/>
      <c r="J23" s="54"/>
      <c r="K23" s="55"/>
      <c r="L23" s="54"/>
      <c r="M23" s="55"/>
      <c r="N23" s="54"/>
      <c r="P23" s="56"/>
      <c r="R23" s="12"/>
      <c r="T23" s="33"/>
      <c r="X23" s="33"/>
    </row>
    <row r="24" spans="1:24" ht="12.75">
      <c r="A24" s="96" t="s">
        <v>125</v>
      </c>
      <c r="B24" s="54">
        <v>21376</v>
      </c>
      <c r="C24" s="55"/>
      <c r="D24" s="55">
        <v>-22302</v>
      </c>
      <c r="E24" s="55"/>
      <c r="F24" s="55">
        <v>0</v>
      </c>
      <c r="G24" s="55"/>
      <c r="H24" s="55">
        <v>0</v>
      </c>
      <c r="I24" s="55"/>
      <c r="J24" s="54">
        <v>926</v>
      </c>
      <c r="K24" s="55"/>
      <c r="L24" s="54">
        <v>1811</v>
      </c>
      <c r="M24" s="55"/>
      <c r="N24" s="54">
        <f>SUM(B24:M24)</f>
        <v>1811</v>
      </c>
      <c r="P24" s="56">
        <v>0</v>
      </c>
      <c r="R24" s="12">
        <f>+P24+N24</f>
        <v>1811</v>
      </c>
      <c r="T24" s="33"/>
      <c r="X24" s="33"/>
    </row>
    <row r="25" spans="1:24" ht="12.75">
      <c r="A25" s="53"/>
      <c r="B25" s="54"/>
      <c r="C25" s="55"/>
      <c r="D25" s="55"/>
      <c r="E25" s="55"/>
      <c r="F25" s="55"/>
      <c r="G25" s="55"/>
      <c r="H25" s="55"/>
      <c r="I25" s="55"/>
      <c r="J25" s="54"/>
      <c r="K25" s="55"/>
      <c r="L25" s="54"/>
      <c r="M25" s="55"/>
      <c r="N25" s="54"/>
      <c r="P25" s="56"/>
      <c r="R25" s="12"/>
      <c r="T25" s="33"/>
      <c r="X25" s="33"/>
    </row>
    <row r="26" spans="1:24" ht="12.75">
      <c r="A26" s="96" t="s">
        <v>126</v>
      </c>
      <c r="B26" s="54">
        <v>100</v>
      </c>
      <c r="C26" s="55"/>
      <c r="D26" s="55">
        <v>0</v>
      </c>
      <c r="E26" s="55"/>
      <c r="F26" s="55">
        <v>-84</v>
      </c>
      <c r="G26" s="55"/>
      <c r="H26" s="55">
        <v>0</v>
      </c>
      <c r="I26" s="55"/>
      <c r="J26" s="54">
        <v>0</v>
      </c>
      <c r="K26" s="55"/>
      <c r="L26" s="54">
        <f>-16+18</f>
        <v>2</v>
      </c>
      <c r="M26" s="55"/>
      <c r="N26" s="54">
        <f>SUM(B26:M26)</f>
        <v>18</v>
      </c>
      <c r="P26" s="56">
        <v>0</v>
      </c>
      <c r="R26" s="12">
        <f>+P26+N26</f>
        <v>18</v>
      </c>
      <c r="T26" s="33"/>
      <c r="X26" s="33"/>
    </row>
    <row r="27" spans="1:24" ht="12.75">
      <c r="A27" s="53"/>
      <c r="B27" s="54"/>
      <c r="C27" s="55"/>
      <c r="D27" s="55"/>
      <c r="E27" s="55"/>
      <c r="F27" s="55"/>
      <c r="G27" s="55"/>
      <c r="H27" s="55"/>
      <c r="I27" s="55"/>
      <c r="J27" s="54"/>
      <c r="K27" s="55"/>
      <c r="L27" s="54"/>
      <c r="M27" s="55"/>
      <c r="N27" s="54"/>
      <c r="P27" s="56"/>
      <c r="R27" s="12"/>
      <c r="T27" s="33"/>
      <c r="X27" s="33"/>
    </row>
    <row r="28" spans="1:24" ht="38.25">
      <c r="A28" s="97" t="s">
        <v>137</v>
      </c>
      <c r="B28" s="54">
        <v>0</v>
      </c>
      <c r="C28" s="55"/>
      <c r="D28" s="55">
        <v>0</v>
      </c>
      <c r="E28" s="55"/>
      <c r="F28" s="55">
        <v>0</v>
      </c>
      <c r="G28" s="55"/>
      <c r="H28" s="55">
        <v>0</v>
      </c>
      <c r="I28" s="55"/>
      <c r="J28" s="54">
        <v>0</v>
      </c>
      <c r="K28" s="55"/>
      <c r="L28" s="54">
        <f>+PL!G44</f>
        <v>66467</v>
      </c>
      <c r="M28" s="55"/>
      <c r="N28" s="54">
        <f>B28+J28+L28+F28</f>
        <v>66467</v>
      </c>
      <c r="P28" s="56">
        <f>PL!G46</f>
        <v>-521</v>
      </c>
      <c r="R28" s="12">
        <f>+P28+N28</f>
        <v>65946</v>
      </c>
      <c r="T28" s="33"/>
      <c r="X28" s="33"/>
    </row>
    <row r="29" spans="1:24" ht="12.75">
      <c r="A29" s="96"/>
      <c r="B29" s="54"/>
      <c r="C29" s="55"/>
      <c r="D29" s="55"/>
      <c r="E29" s="55"/>
      <c r="F29" s="55"/>
      <c r="G29" s="55"/>
      <c r="H29" s="55"/>
      <c r="I29" s="55"/>
      <c r="J29" s="54"/>
      <c r="K29" s="55"/>
      <c r="L29" s="54"/>
      <c r="M29" s="55"/>
      <c r="N29" s="54"/>
      <c r="P29" s="56"/>
      <c r="R29" s="12"/>
      <c r="T29" s="33"/>
      <c r="X29" s="33"/>
    </row>
    <row r="30" spans="1:24" ht="13.5" thickBot="1">
      <c r="A30" s="53" t="s">
        <v>121</v>
      </c>
      <c r="B30" s="98">
        <f>SUM(B20:B29)</f>
        <v>586079</v>
      </c>
      <c r="C30" s="55"/>
      <c r="D30" s="98">
        <f>SUM(D20:D29)</f>
        <v>293092</v>
      </c>
      <c r="E30" s="55"/>
      <c r="F30" s="98">
        <f>SUM(F20:F29)</f>
        <v>10532</v>
      </c>
      <c r="G30" s="55"/>
      <c r="H30" s="98">
        <f>SUM(H20:H29)</f>
        <v>4062</v>
      </c>
      <c r="I30" s="55"/>
      <c r="J30" s="98">
        <f>SUM(J20:J29)</f>
        <v>27177</v>
      </c>
      <c r="K30" s="55"/>
      <c r="L30" s="98">
        <f>SUM(L20:L29)</f>
        <v>-177889</v>
      </c>
      <c r="M30" s="55"/>
      <c r="N30" s="98">
        <f>SUM(N20:N29)</f>
        <v>743053</v>
      </c>
      <c r="P30" s="98">
        <f>SUM(P20:P29)</f>
        <v>57563</v>
      </c>
      <c r="R30" s="98">
        <f>SUM(R20:R29)</f>
        <v>800616</v>
      </c>
      <c r="T30" s="33"/>
      <c r="X30" s="33"/>
    </row>
    <row r="31" spans="1:24" ht="12.75">
      <c r="A31" s="33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P31" s="55"/>
      <c r="Q31" s="55"/>
      <c r="R31" s="55"/>
      <c r="T31" s="33"/>
      <c r="X31" s="33"/>
    </row>
    <row r="32" spans="1:24" ht="12.75">
      <c r="A32" s="33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Q32" s="55"/>
      <c r="R32" s="55"/>
      <c r="T32" s="33"/>
      <c r="X32" s="33"/>
    </row>
    <row r="33" spans="1:24" ht="12.75">
      <c r="A33" s="33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Q33" s="55"/>
      <c r="R33" s="55"/>
      <c r="T33" s="33"/>
      <c r="X33" s="33"/>
    </row>
    <row r="34" spans="1:24" ht="12.75">
      <c r="A34" s="33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T34" s="33"/>
      <c r="X34" s="33"/>
    </row>
    <row r="35" spans="1:24" ht="12.75">
      <c r="A35" s="33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T35" s="33"/>
      <c r="X35" s="33"/>
    </row>
    <row r="36" spans="1:24" ht="12.75">
      <c r="A36" s="33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T36" s="33"/>
      <c r="X36" s="33"/>
    </row>
    <row r="37" spans="1:24" ht="12.75">
      <c r="A37" s="95" t="s">
        <v>120</v>
      </c>
      <c r="B37" s="33"/>
      <c r="C37" s="36"/>
      <c r="D37" s="36"/>
      <c r="E37" s="36"/>
      <c r="F37" s="36"/>
      <c r="G37" s="36"/>
      <c r="H37" s="36"/>
      <c r="I37" s="36"/>
      <c r="J37" s="33"/>
      <c r="K37" s="36"/>
      <c r="L37" s="33"/>
      <c r="M37" s="36"/>
      <c r="N37" s="33"/>
      <c r="T37" s="33"/>
      <c r="X37" s="33"/>
    </row>
    <row r="38" spans="1:24" ht="12.75">
      <c r="A38" s="95"/>
      <c r="B38" s="33"/>
      <c r="C38" s="36"/>
      <c r="D38" s="36"/>
      <c r="E38" s="36"/>
      <c r="F38" s="36"/>
      <c r="G38" s="36"/>
      <c r="H38" s="36"/>
      <c r="I38" s="36"/>
      <c r="J38" s="33"/>
      <c r="K38" s="36"/>
      <c r="L38" s="33"/>
      <c r="M38" s="36"/>
      <c r="N38" s="33"/>
      <c r="T38" s="33"/>
      <c r="X38" s="33"/>
    </row>
    <row r="39" spans="1:24" ht="12.75">
      <c r="A39" s="53" t="s">
        <v>83</v>
      </c>
      <c r="B39" s="54">
        <v>564603</v>
      </c>
      <c r="C39" s="55"/>
      <c r="D39" s="55">
        <v>319962</v>
      </c>
      <c r="E39" s="55"/>
      <c r="F39" s="55">
        <v>76755</v>
      </c>
      <c r="G39" s="55"/>
      <c r="H39" s="55">
        <v>44602</v>
      </c>
      <c r="I39" s="55"/>
      <c r="J39" s="54">
        <v>27452</v>
      </c>
      <c r="K39" s="55"/>
      <c r="L39" s="54">
        <v>-266553</v>
      </c>
      <c r="M39" s="55"/>
      <c r="N39" s="54">
        <f>SUM(B39:M39)</f>
        <v>766821</v>
      </c>
      <c r="P39" s="56">
        <v>58852</v>
      </c>
      <c r="Q39" s="56"/>
      <c r="R39" s="56">
        <f>+N39+P39</f>
        <v>825673</v>
      </c>
      <c r="T39" s="33"/>
      <c r="X39" s="33"/>
    </row>
    <row r="40" spans="1:24" ht="12.75" customHeight="1">
      <c r="A40" s="33"/>
      <c r="B40" s="54"/>
      <c r="C40" s="55"/>
      <c r="D40" s="55"/>
      <c r="E40" s="55"/>
      <c r="F40" s="55"/>
      <c r="G40" s="55"/>
      <c r="H40" s="55"/>
      <c r="I40" s="55"/>
      <c r="J40" s="54"/>
      <c r="K40" s="55"/>
      <c r="L40" s="54"/>
      <c r="M40" s="55"/>
      <c r="N40" s="54"/>
      <c r="P40" s="56"/>
      <c r="Q40" s="56"/>
      <c r="R40" s="56"/>
      <c r="T40" s="33"/>
      <c r="X40" s="33"/>
    </row>
    <row r="41" spans="1:24" ht="12.75" customHeight="1">
      <c r="A41" s="33" t="s">
        <v>138</v>
      </c>
      <c r="B41" s="54">
        <v>0</v>
      </c>
      <c r="C41" s="55"/>
      <c r="D41" s="55">
        <v>-387</v>
      </c>
      <c r="E41" s="55"/>
      <c r="F41" s="55">
        <v>-269</v>
      </c>
      <c r="G41" s="55"/>
      <c r="H41" s="55">
        <v>0</v>
      </c>
      <c r="I41" s="55"/>
      <c r="J41" s="54">
        <v>0</v>
      </c>
      <c r="K41" s="55"/>
      <c r="L41" s="54">
        <v>0</v>
      </c>
      <c r="M41" s="55"/>
      <c r="N41" s="54">
        <f>SUM(B41:M41)</f>
        <v>-656</v>
      </c>
      <c r="P41" s="56">
        <v>0</v>
      </c>
      <c r="Q41" s="56"/>
      <c r="R41" s="56">
        <f>+N41+P41</f>
        <v>-656</v>
      </c>
      <c r="T41" s="33"/>
      <c r="X41" s="33"/>
    </row>
    <row r="42" spans="1:24" ht="12.75" customHeight="1">
      <c r="A42" s="33"/>
      <c r="B42" s="54"/>
      <c r="C42" s="55"/>
      <c r="D42" s="55"/>
      <c r="E42" s="55"/>
      <c r="F42" s="55"/>
      <c r="G42" s="55"/>
      <c r="H42" s="55"/>
      <c r="I42" s="55"/>
      <c r="J42" s="54"/>
      <c r="K42" s="55"/>
      <c r="L42" s="54"/>
      <c r="M42" s="55"/>
      <c r="N42" s="54"/>
      <c r="P42" s="56"/>
      <c r="Q42" s="56"/>
      <c r="R42" s="56"/>
      <c r="T42" s="33"/>
      <c r="X42" s="33"/>
    </row>
    <row r="43" spans="1:24" ht="12.75" customHeight="1">
      <c r="A43" s="33" t="s">
        <v>148</v>
      </c>
      <c r="B43" s="54">
        <v>0</v>
      </c>
      <c r="C43" s="55"/>
      <c r="D43" s="55">
        <v>-3388</v>
      </c>
      <c r="E43" s="55"/>
      <c r="F43" s="55">
        <v>-1149</v>
      </c>
      <c r="G43" s="55"/>
      <c r="H43" s="55">
        <v>0</v>
      </c>
      <c r="I43" s="55"/>
      <c r="J43" s="54">
        <v>0</v>
      </c>
      <c r="K43" s="55"/>
      <c r="L43" s="54">
        <v>0</v>
      </c>
      <c r="M43" s="55"/>
      <c r="N43" s="54">
        <f>SUM(B43:M43)</f>
        <v>-4537</v>
      </c>
      <c r="P43" s="56">
        <v>0</v>
      </c>
      <c r="Q43" s="56"/>
      <c r="R43" s="56">
        <f>+N43+P43</f>
        <v>-4537</v>
      </c>
      <c r="T43" s="33"/>
      <c r="X43" s="33"/>
    </row>
    <row r="44" spans="1:24" ht="12.75" customHeight="1">
      <c r="A44" s="33"/>
      <c r="B44" s="54"/>
      <c r="C44" s="55"/>
      <c r="D44" s="55"/>
      <c r="E44" s="55"/>
      <c r="F44" s="55"/>
      <c r="G44" s="55"/>
      <c r="H44" s="55"/>
      <c r="I44" s="55"/>
      <c r="J44" s="54"/>
      <c r="K44" s="55"/>
      <c r="L44" s="54"/>
      <c r="M44" s="55"/>
      <c r="N44" s="54"/>
      <c r="P44" s="56"/>
      <c r="Q44" s="56"/>
      <c r="R44" s="56"/>
      <c r="T44" s="33"/>
      <c r="X44" s="33"/>
    </row>
    <row r="45" spans="1:24" ht="12.75" customHeight="1">
      <c r="A45" s="33" t="s">
        <v>122</v>
      </c>
      <c r="B45" s="54">
        <v>0</v>
      </c>
      <c r="C45" s="55"/>
      <c r="D45" s="55">
        <v>0</v>
      </c>
      <c r="E45" s="55"/>
      <c r="F45" s="55">
        <v>0</v>
      </c>
      <c r="G45" s="55"/>
      <c r="H45" s="55">
        <v>0</v>
      </c>
      <c r="I45" s="55"/>
      <c r="J45" s="54">
        <v>-1201</v>
      </c>
      <c r="K45" s="55"/>
      <c r="L45" s="54">
        <v>1201</v>
      </c>
      <c r="M45" s="55"/>
      <c r="N45" s="54">
        <f>SUM(B45:M45)</f>
        <v>0</v>
      </c>
      <c r="P45" s="56">
        <v>0</v>
      </c>
      <c r="Q45" s="56"/>
      <c r="R45" s="56">
        <f>+N45+P45</f>
        <v>0</v>
      </c>
      <c r="T45" s="33"/>
      <c r="X45" s="33"/>
    </row>
    <row r="46" spans="1:24" ht="12.75" customHeight="1">
      <c r="A46" s="33"/>
      <c r="B46" s="54"/>
      <c r="C46" s="55"/>
      <c r="D46" s="55"/>
      <c r="E46" s="55"/>
      <c r="F46" s="55"/>
      <c r="G46" s="55"/>
      <c r="H46" s="55"/>
      <c r="I46" s="55"/>
      <c r="J46" s="54"/>
      <c r="K46" s="55"/>
      <c r="L46" s="54"/>
      <c r="M46" s="55"/>
      <c r="N46" s="54"/>
      <c r="P46" s="56"/>
      <c r="Q46" s="56"/>
      <c r="R46" s="56"/>
      <c r="T46" s="33"/>
      <c r="X46" s="33"/>
    </row>
    <row r="47" spans="1:24" ht="38.25">
      <c r="A47" s="97" t="s">
        <v>137</v>
      </c>
      <c r="B47" s="55">
        <v>0</v>
      </c>
      <c r="C47" s="55"/>
      <c r="D47" s="55">
        <v>0</v>
      </c>
      <c r="E47" s="55"/>
      <c r="F47" s="55">
        <v>0</v>
      </c>
      <c r="G47" s="55"/>
      <c r="H47" s="55">
        <v>0</v>
      </c>
      <c r="I47" s="55"/>
      <c r="J47" s="55">
        <v>0</v>
      </c>
      <c r="K47" s="55"/>
      <c r="L47" s="55">
        <f>+PL!I44</f>
        <v>37672</v>
      </c>
      <c r="M47" s="55"/>
      <c r="N47" s="55">
        <f>B47+J47+L47</f>
        <v>37672</v>
      </c>
      <c r="O47" s="50"/>
      <c r="P47" s="99">
        <f>+PL!I46</f>
        <v>-634</v>
      </c>
      <c r="Q47" s="99"/>
      <c r="R47" s="99">
        <f>+P47+N47</f>
        <v>37038</v>
      </c>
      <c r="S47" s="50"/>
      <c r="T47" s="36"/>
      <c r="U47" s="50"/>
      <c r="V47" s="50"/>
      <c r="W47" s="50"/>
      <c r="X47" s="33"/>
    </row>
    <row r="48" spans="1:24" ht="12.75" customHeight="1">
      <c r="A48" s="97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0"/>
      <c r="P48" s="99"/>
      <c r="Q48" s="99"/>
      <c r="R48" s="99"/>
      <c r="S48" s="50"/>
      <c r="T48" s="36"/>
      <c r="U48" s="50"/>
      <c r="V48" s="50"/>
      <c r="W48" s="50"/>
      <c r="X48" s="33"/>
    </row>
    <row r="49" spans="1:24" ht="12.75" customHeight="1">
      <c r="A49" s="33" t="s">
        <v>123</v>
      </c>
      <c r="B49" s="54">
        <v>0</v>
      </c>
      <c r="C49" s="55"/>
      <c r="D49" s="55">
        <v>0</v>
      </c>
      <c r="E49" s="55"/>
      <c r="F49" s="55">
        <v>0</v>
      </c>
      <c r="G49" s="55"/>
      <c r="H49" s="55">
        <v>0</v>
      </c>
      <c r="I49" s="55"/>
      <c r="J49" s="54">
        <v>0</v>
      </c>
      <c r="K49" s="55"/>
      <c r="L49" s="54">
        <v>0</v>
      </c>
      <c r="M49" s="55"/>
      <c r="N49" s="55">
        <f>B49+J49+L49</f>
        <v>0</v>
      </c>
      <c r="P49" s="56">
        <v>-134</v>
      </c>
      <c r="Q49" s="56"/>
      <c r="R49" s="99">
        <f>+P49+N49</f>
        <v>-134</v>
      </c>
      <c r="T49" s="33"/>
      <c r="X49" s="33"/>
    </row>
    <row r="50" spans="1:24" ht="6.75" customHeight="1">
      <c r="A50" s="33"/>
      <c r="B50" s="54"/>
      <c r="C50" s="55"/>
      <c r="D50" s="55"/>
      <c r="E50" s="55"/>
      <c r="F50" s="55"/>
      <c r="G50" s="55"/>
      <c r="H50" s="55"/>
      <c r="I50" s="55"/>
      <c r="J50" s="54"/>
      <c r="K50" s="55"/>
      <c r="L50" s="54"/>
      <c r="M50" s="55"/>
      <c r="N50" s="54"/>
      <c r="P50" s="56"/>
      <c r="Q50" s="56"/>
      <c r="R50" s="56"/>
      <c r="T50" s="33"/>
      <c r="X50" s="33"/>
    </row>
    <row r="51" spans="1:24" ht="13.5" thickBot="1">
      <c r="A51" s="53" t="s">
        <v>140</v>
      </c>
      <c r="B51" s="98">
        <f>SUM(B39:B47)</f>
        <v>564603</v>
      </c>
      <c r="C51" s="55"/>
      <c r="D51" s="98">
        <f>SUM(D39:D47)</f>
        <v>316187</v>
      </c>
      <c r="E51" s="55"/>
      <c r="F51" s="98">
        <f>SUM(F39:F47)</f>
        <v>75337</v>
      </c>
      <c r="G51" s="55"/>
      <c r="H51" s="98">
        <f>SUM(H39:H47)</f>
        <v>44602</v>
      </c>
      <c r="I51" s="55"/>
      <c r="J51" s="98">
        <f>SUM(J38:J49)</f>
        <v>26251</v>
      </c>
      <c r="K51" s="55"/>
      <c r="L51" s="98">
        <f>SUM(L38:L49)</f>
        <v>-227680</v>
      </c>
      <c r="M51" s="55"/>
      <c r="N51" s="98">
        <f>SUM(N38:N49)</f>
        <v>799300</v>
      </c>
      <c r="P51" s="98">
        <f>SUM(P38:P49)</f>
        <v>58084</v>
      </c>
      <c r="Q51" s="56"/>
      <c r="R51" s="98">
        <f>SUM(R38:R49)</f>
        <v>857384</v>
      </c>
      <c r="T51" s="54"/>
      <c r="X51" s="54"/>
    </row>
    <row r="52" spans="1:24" ht="12.75">
      <c r="A52" s="33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P52" s="56"/>
      <c r="Q52" s="56"/>
      <c r="R52" s="56"/>
      <c r="T52" s="54"/>
      <c r="X52" s="54"/>
    </row>
    <row r="53" spans="1:24" ht="12.75">
      <c r="A53" s="33"/>
      <c r="B53" s="33"/>
      <c r="C53" s="36"/>
      <c r="D53" s="36"/>
      <c r="E53" s="36"/>
      <c r="F53" s="36"/>
      <c r="G53" s="36"/>
      <c r="H53" s="36"/>
      <c r="I53" s="36"/>
      <c r="J53" s="36"/>
      <c r="K53" s="36"/>
      <c r="L53" s="33"/>
      <c r="M53" s="36"/>
      <c r="N53" s="36"/>
      <c r="O53" s="37"/>
      <c r="S53" s="37"/>
      <c r="T53" s="33"/>
      <c r="X53" s="33"/>
    </row>
    <row r="54" spans="1:25" ht="12.75">
      <c r="A54" s="33"/>
      <c r="B54" s="33"/>
      <c r="C54" s="33"/>
      <c r="D54" s="33"/>
      <c r="E54" s="33"/>
      <c r="F54" s="33"/>
      <c r="G54" s="33"/>
      <c r="H54" s="33"/>
      <c r="I54" s="33"/>
      <c r="J54" s="36"/>
      <c r="K54" s="36"/>
      <c r="L54" s="33"/>
      <c r="M54" s="36"/>
      <c r="N54" s="36"/>
      <c r="O54" s="33"/>
      <c r="P54" s="37"/>
      <c r="Q54" s="33"/>
      <c r="R54" s="37"/>
      <c r="S54" s="33"/>
      <c r="T54" s="33"/>
      <c r="U54" s="33"/>
      <c r="V54" s="33"/>
      <c r="W54" s="33"/>
      <c r="X54" s="33"/>
      <c r="Y54" s="33"/>
    </row>
  </sheetData>
  <mergeCells count="2">
    <mergeCell ref="B10:L10"/>
    <mergeCell ref="B12:J12"/>
  </mergeCells>
  <printOptions/>
  <pageMargins left="0.5118110236220472" right="0.2755905511811024" top="0.4330708661417323" bottom="0.5118110236220472" header="0.2362204724409449" footer="0.31496062992125984"/>
  <pageSetup blackAndWhite="1" firstPageNumber="3" useFirstPageNumber="1" horizontalDpi="600" verticalDpi="600" orientation="portrait" scale="75" r:id="rId2"/>
  <headerFooter alignWithMargins="0">
    <oddFooter>&amp;C&amp;P</oddFooter>
  </headerFooter>
  <rowBreaks count="1" manualBreakCount="1">
    <brk id="52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5"/>
  <sheetViews>
    <sheetView tabSelected="1" workbookViewId="0" topLeftCell="A10">
      <selection activeCell="F80" sqref="F80"/>
    </sheetView>
  </sheetViews>
  <sheetFormatPr defaultColWidth="9.140625" defaultRowHeight="12.75"/>
  <cols>
    <col min="1" max="1" width="0.5625" style="10" customWidth="1"/>
    <col min="2" max="2" width="1.1484375" style="10" customWidth="1"/>
    <col min="3" max="3" width="61.57421875" style="10" customWidth="1"/>
    <col min="4" max="4" width="13.421875" style="30" customWidth="1"/>
    <col min="5" max="5" width="0.5625" style="10" customWidth="1"/>
    <col min="6" max="6" width="13.8515625" style="30" bestFit="1" customWidth="1"/>
    <col min="7" max="7" width="1.28515625" style="10" customWidth="1"/>
    <col min="8" max="8" width="10.421875" style="1" customWidth="1"/>
    <col min="9" max="16" width="0.42578125" style="1" customWidth="1"/>
    <col min="17" max="17" width="4.00390625" style="1" customWidth="1"/>
    <col min="18" max="16384" width="0.42578125" style="1" customWidth="1"/>
  </cols>
  <sheetData>
    <row r="1" spans="1:9" ht="15.75">
      <c r="A1" s="19" t="s">
        <v>12</v>
      </c>
      <c r="B1" s="19" t="s">
        <v>95</v>
      </c>
      <c r="C1" s="16"/>
      <c r="D1" s="27"/>
      <c r="E1" s="16"/>
      <c r="F1" s="27"/>
      <c r="G1" s="16"/>
      <c r="H1" s="16"/>
      <c r="I1" s="16"/>
    </row>
    <row r="2" spans="1:9" ht="15">
      <c r="A2" s="17" t="s">
        <v>42</v>
      </c>
      <c r="B2" s="38" t="s">
        <v>42</v>
      </c>
      <c r="C2" s="17"/>
      <c r="D2" s="28"/>
      <c r="E2" s="17"/>
      <c r="F2" s="28"/>
      <c r="G2" s="17"/>
      <c r="H2" s="17"/>
      <c r="I2" s="17"/>
    </row>
    <row r="3" spans="1:13" ht="13.5" thickBot="1">
      <c r="A3" s="18"/>
      <c r="B3" s="18"/>
      <c r="C3" s="18"/>
      <c r="D3" s="29"/>
      <c r="E3" s="18"/>
      <c r="F3" s="29"/>
      <c r="G3" s="18"/>
      <c r="H3" s="100"/>
      <c r="I3" s="100"/>
      <c r="J3" s="57"/>
      <c r="K3" s="57"/>
      <c r="L3" s="57"/>
      <c r="M3" s="57"/>
    </row>
    <row r="4" spans="1:13" ht="12.75">
      <c r="A4" s="24"/>
      <c r="B4" s="24"/>
      <c r="H4" s="57"/>
      <c r="I4" s="57"/>
      <c r="J4" s="57"/>
      <c r="K4" s="57"/>
      <c r="L4" s="57"/>
      <c r="M4" s="57"/>
    </row>
    <row r="5" spans="1:13" ht="12.75">
      <c r="A5" s="24"/>
      <c r="B5" s="24"/>
      <c r="H5" s="57"/>
      <c r="I5" s="57"/>
      <c r="J5" s="57"/>
      <c r="K5" s="57"/>
      <c r="L5" s="57"/>
      <c r="M5" s="57"/>
    </row>
    <row r="6" spans="1:13" ht="12.75">
      <c r="A6" s="23" t="s">
        <v>45</v>
      </c>
      <c r="B6" s="24"/>
      <c r="H6" s="57"/>
      <c r="I6" s="57"/>
      <c r="J6" s="57"/>
      <c r="K6" s="57"/>
      <c r="L6" s="57"/>
      <c r="M6" s="57"/>
    </row>
    <row r="7" spans="1:13" ht="12.75">
      <c r="A7" s="23" t="s">
        <v>136</v>
      </c>
      <c r="B7" s="23"/>
      <c r="H7" s="57"/>
      <c r="I7" s="57"/>
      <c r="J7" s="57"/>
      <c r="K7" s="57"/>
      <c r="L7" s="57"/>
      <c r="M7" s="57"/>
    </row>
    <row r="8" spans="6:13" ht="12.75">
      <c r="F8" s="31"/>
      <c r="H8" s="57"/>
      <c r="I8" s="57"/>
      <c r="J8" s="57"/>
      <c r="K8" s="57"/>
      <c r="L8" s="57"/>
      <c r="M8" s="57"/>
    </row>
    <row r="9" spans="4:6" ht="12.75">
      <c r="D9" s="31" t="s">
        <v>30</v>
      </c>
      <c r="E9" s="45"/>
      <c r="F9" s="31" t="s">
        <v>30</v>
      </c>
    </row>
    <row r="10" spans="4:6" ht="12.75">
      <c r="D10" s="72">
        <v>39994</v>
      </c>
      <c r="E10" s="3"/>
      <c r="F10" s="73">
        <v>39629</v>
      </c>
    </row>
    <row r="11" spans="4:6" ht="12.75">
      <c r="D11" s="101" t="s">
        <v>11</v>
      </c>
      <c r="E11" s="45"/>
      <c r="F11" s="101" t="s">
        <v>11</v>
      </c>
    </row>
    <row r="12" ht="12.75">
      <c r="F12" s="63"/>
    </row>
    <row r="14" spans="1:2" ht="12.75">
      <c r="A14" s="24" t="s">
        <v>48</v>
      </c>
      <c r="B14" s="24"/>
    </row>
    <row r="15" spans="2:6" ht="12.75">
      <c r="B15" s="10" t="s">
        <v>141</v>
      </c>
      <c r="D15" s="102"/>
      <c r="E15" s="7"/>
      <c r="F15" s="103"/>
    </row>
    <row r="16" spans="3:6" ht="12.75">
      <c r="C16" s="40" t="s">
        <v>102</v>
      </c>
      <c r="D16" s="102">
        <f>35670+18489</f>
        <v>54159</v>
      </c>
      <c r="E16" s="7"/>
      <c r="F16" s="103">
        <f>58481</f>
        <v>58481</v>
      </c>
    </row>
    <row r="17" spans="3:6" ht="12.75">
      <c r="C17" s="40" t="s">
        <v>103</v>
      </c>
      <c r="D17" s="102">
        <v>0</v>
      </c>
      <c r="E17" s="7"/>
      <c r="F17" s="103">
        <v>-2581</v>
      </c>
    </row>
    <row r="18" spans="2:6" ht="12.75">
      <c r="B18" s="10" t="s">
        <v>29</v>
      </c>
      <c r="D18" s="102"/>
      <c r="E18" s="7"/>
      <c r="F18" s="103"/>
    </row>
    <row r="19" spans="3:6" ht="12.75" customHeight="1">
      <c r="C19" s="10" t="s">
        <v>84</v>
      </c>
      <c r="D19" s="102">
        <v>2680</v>
      </c>
      <c r="E19" s="7"/>
      <c r="F19" s="103">
        <v>3366</v>
      </c>
    </row>
    <row r="20" spans="3:6" ht="12.75">
      <c r="C20" s="10" t="s">
        <v>28</v>
      </c>
      <c r="D20" s="102">
        <f>9454+180</f>
        <v>9634</v>
      </c>
      <c r="E20" s="7"/>
      <c r="F20" s="103">
        <v>12144</v>
      </c>
    </row>
    <row r="21" spans="3:6" ht="12.75">
      <c r="C21" s="10" t="s">
        <v>127</v>
      </c>
      <c r="D21" s="102">
        <v>-83402</v>
      </c>
      <c r="E21" s="7"/>
      <c r="F21" s="103">
        <v>-6292</v>
      </c>
    </row>
    <row r="22" spans="3:6" ht="12" customHeight="1">
      <c r="C22" s="10" t="s">
        <v>128</v>
      </c>
      <c r="D22" s="102">
        <v>-154</v>
      </c>
      <c r="E22" s="7"/>
      <c r="F22" s="103">
        <v>-137</v>
      </c>
    </row>
    <row r="23" spans="3:17" ht="12.75">
      <c r="C23" s="26" t="s">
        <v>129</v>
      </c>
      <c r="D23" s="102">
        <v>-287</v>
      </c>
      <c r="E23" s="7"/>
      <c r="F23" s="103">
        <v>0</v>
      </c>
      <c r="Q23" s="2"/>
    </row>
    <row r="24" spans="3:6" ht="12.75">
      <c r="C24" s="10" t="s">
        <v>36</v>
      </c>
      <c r="D24" s="102">
        <v>22144</v>
      </c>
      <c r="E24" s="7"/>
      <c r="F24" s="103">
        <v>21867</v>
      </c>
    </row>
    <row r="25" spans="3:17" ht="12.75">
      <c r="C25" s="10" t="s">
        <v>27</v>
      </c>
      <c r="D25" s="102">
        <v>-1306</v>
      </c>
      <c r="E25" s="7"/>
      <c r="F25" s="103">
        <v>-1449</v>
      </c>
      <c r="Q25" s="2"/>
    </row>
    <row r="26" spans="3:6" ht="12.75">
      <c r="C26" s="10" t="s">
        <v>40</v>
      </c>
      <c r="D26" s="102">
        <v>7</v>
      </c>
      <c r="E26" s="7"/>
      <c r="F26" s="103">
        <v>1</v>
      </c>
    </row>
    <row r="27" spans="3:6" ht="12.75">
      <c r="C27" s="10" t="s">
        <v>153</v>
      </c>
      <c r="D27" s="102">
        <v>96</v>
      </c>
      <c r="E27" s="13"/>
      <c r="F27" s="104">
        <v>0</v>
      </c>
    </row>
    <row r="28" spans="3:6" ht="12.75">
      <c r="C28" s="10" t="s">
        <v>46</v>
      </c>
      <c r="D28" s="102">
        <v>16</v>
      </c>
      <c r="E28" s="7"/>
      <c r="F28" s="103">
        <v>68</v>
      </c>
    </row>
    <row r="29" spans="3:6" ht="12.75">
      <c r="C29" s="10" t="s">
        <v>149</v>
      </c>
      <c r="D29" s="102">
        <v>1849</v>
      </c>
      <c r="E29" s="13"/>
      <c r="F29" s="104">
        <v>3663</v>
      </c>
    </row>
    <row r="30" spans="3:17" ht="12.75">
      <c r="C30" s="8" t="s">
        <v>165</v>
      </c>
      <c r="D30" s="102">
        <v>0</v>
      </c>
      <c r="E30" s="7"/>
      <c r="F30" s="103">
        <v>670</v>
      </c>
      <c r="Q30" s="2"/>
    </row>
    <row r="31" spans="3:6" ht="12.75">
      <c r="C31" s="10" t="s">
        <v>150</v>
      </c>
      <c r="D31" s="105">
        <v>-4931</v>
      </c>
      <c r="E31" s="45"/>
      <c r="F31" s="30">
        <v>-7397</v>
      </c>
    </row>
    <row r="32" spans="3:6" ht="12.75">
      <c r="C32" s="10" t="s">
        <v>151</v>
      </c>
      <c r="D32" s="105">
        <v>0</v>
      </c>
      <c r="E32" s="45"/>
      <c r="F32" s="30">
        <v>-242</v>
      </c>
    </row>
    <row r="33" spans="3:6" ht="12.75">
      <c r="C33" s="10" t="s">
        <v>152</v>
      </c>
      <c r="D33" s="105">
        <v>-289</v>
      </c>
      <c r="E33" s="45"/>
      <c r="F33" s="30">
        <v>0</v>
      </c>
    </row>
    <row r="34" spans="3:17" ht="12.75">
      <c r="C34" s="26" t="s">
        <v>114</v>
      </c>
      <c r="D34" s="102">
        <f>18503-18489</f>
        <v>14</v>
      </c>
      <c r="E34" s="7"/>
      <c r="F34" s="103">
        <v>165</v>
      </c>
      <c r="Q34" s="2"/>
    </row>
    <row r="35" spans="3:6" ht="12.75">
      <c r="C35" s="10" t="s">
        <v>108</v>
      </c>
      <c r="D35" s="105">
        <v>8175</v>
      </c>
      <c r="E35" s="13"/>
      <c r="F35" s="104">
        <f>-4890+5</f>
        <v>-4885</v>
      </c>
    </row>
    <row r="36" spans="3:17" ht="12.75">
      <c r="C36" s="10" t="s">
        <v>71</v>
      </c>
      <c r="D36" s="102">
        <v>-138</v>
      </c>
      <c r="E36" s="7"/>
      <c r="F36" s="103">
        <v>-10</v>
      </c>
      <c r="Q36" s="2"/>
    </row>
    <row r="37" spans="3:6" ht="12.75">
      <c r="C37" s="10" t="s">
        <v>107</v>
      </c>
      <c r="D37" s="105">
        <v>-266</v>
      </c>
      <c r="E37" s="45"/>
      <c r="F37" s="30">
        <v>-7069</v>
      </c>
    </row>
    <row r="38" spans="3:6" ht="12.75">
      <c r="C38" s="10" t="s">
        <v>105</v>
      </c>
      <c r="D38" s="105">
        <v>9</v>
      </c>
      <c r="E38" s="45"/>
      <c r="F38" s="30">
        <v>7</v>
      </c>
    </row>
    <row r="39" spans="3:6" ht="12.75">
      <c r="C39" s="10" t="s">
        <v>104</v>
      </c>
      <c r="D39" s="105">
        <v>170</v>
      </c>
      <c r="E39" s="13"/>
      <c r="F39" s="104">
        <v>283</v>
      </c>
    </row>
    <row r="40" spans="3:6" ht="12.75">
      <c r="C40" s="10" t="s">
        <v>142</v>
      </c>
      <c r="D40" s="106">
        <v>-11</v>
      </c>
      <c r="E40" s="13"/>
      <c r="F40" s="107">
        <v>-373</v>
      </c>
    </row>
    <row r="41" spans="2:6" ht="12.75">
      <c r="B41" s="10" t="s">
        <v>52</v>
      </c>
      <c r="D41" s="102">
        <f>SUM(D15:D40)</f>
        <v>8169</v>
      </c>
      <c r="E41" s="7"/>
      <c r="F41" s="103">
        <f>SUM(F15:F40)</f>
        <v>70280</v>
      </c>
    </row>
    <row r="42" spans="3:6" ht="12.75">
      <c r="C42" s="10" t="s">
        <v>39</v>
      </c>
      <c r="D42" s="106">
        <f>-11118-1285</f>
        <v>-12403</v>
      </c>
      <c r="E42" s="13"/>
      <c r="F42" s="107">
        <f>-12295-1154-20335+1125-7628+6634</f>
        <v>-33653</v>
      </c>
    </row>
    <row r="43" spans="2:6" ht="12.75">
      <c r="B43" s="10" t="s">
        <v>132</v>
      </c>
      <c r="D43" s="102">
        <f>SUM(D41:D42)</f>
        <v>-4234</v>
      </c>
      <c r="E43" s="7"/>
      <c r="F43" s="103">
        <f>+F41+F42</f>
        <v>36627</v>
      </c>
    </row>
    <row r="44" spans="3:6" ht="12.75">
      <c r="C44" s="10" t="s">
        <v>130</v>
      </c>
      <c r="D44" s="102">
        <v>3151</v>
      </c>
      <c r="E44" s="7"/>
      <c r="F44" s="103">
        <v>-37424</v>
      </c>
    </row>
    <row r="45" spans="3:6" ht="12.75">
      <c r="C45" s="10" t="s">
        <v>26</v>
      </c>
      <c r="D45" s="102">
        <v>-208</v>
      </c>
      <c r="E45" s="13"/>
      <c r="F45" s="103">
        <v>-1724</v>
      </c>
    </row>
    <row r="46" spans="2:6" ht="12.75">
      <c r="B46" s="24" t="s">
        <v>159</v>
      </c>
      <c r="D46" s="108">
        <f>SUM(D43:D45)</f>
        <v>-1291</v>
      </c>
      <c r="E46" s="13"/>
      <c r="F46" s="109">
        <f>SUM(F43:F45)</f>
        <v>-2521</v>
      </c>
    </row>
    <row r="47" ht="12.75">
      <c r="D47" s="110"/>
    </row>
    <row r="48" spans="1:4" ht="12.75">
      <c r="A48" s="24" t="s">
        <v>49</v>
      </c>
      <c r="D48" s="110"/>
    </row>
    <row r="49" spans="3:6" ht="12.75">
      <c r="C49" s="10" t="s">
        <v>162</v>
      </c>
      <c r="D49" s="102">
        <v>-2746</v>
      </c>
      <c r="E49" s="7"/>
      <c r="F49" s="103">
        <v>-2362</v>
      </c>
    </row>
    <row r="50" spans="3:6" ht="12.75">
      <c r="C50" s="10" t="s">
        <v>166</v>
      </c>
      <c r="D50" s="102">
        <v>-9</v>
      </c>
      <c r="E50" s="7"/>
      <c r="F50" s="103">
        <v>0</v>
      </c>
    </row>
    <row r="51" spans="3:6" ht="12.75">
      <c r="C51" s="10" t="s">
        <v>155</v>
      </c>
      <c r="D51" s="102">
        <v>-10614</v>
      </c>
      <c r="E51" s="7"/>
      <c r="F51" s="103">
        <v>0</v>
      </c>
    </row>
    <row r="52" spans="3:6" ht="12.75">
      <c r="C52" s="10" t="s">
        <v>154</v>
      </c>
      <c r="D52" s="102">
        <v>0</v>
      </c>
      <c r="E52" s="7"/>
      <c r="F52" s="103">
        <v>-28</v>
      </c>
    </row>
    <row r="53" spans="3:6" ht="12.75">
      <c r="C53" s="10" t="s">
        <v>24</v>
      </c>
      <c r="D53" s="102">
        <v>-3625</v>
      </c>
      <c r="E53" s="7"/>
      <c r="F53" s="103">
        <v>-6785</v>
      </c>
    </row>
    <row r="54" spans="3:6" ht="12.75">
      <c r="C54" s="10" t="s">
        <v>23</v>
      </c>
      <c r="D54" s="102">
        <v>1306</v>
      </c>
      <c r="E54" s="7"/>
      <c r="F54" s="103">
        <v>1449</v>
      </c>
    </row>
    <row r="55" spans="3:6" ht="12.75">
      <c r="C55" s="10" t="s">
        <v>133</v>
      </c>
      <c r="D55" s="102">
        <v>148401</v>
      </c>
      <c r="E55" s="7"/>
      <c r="F55" s="103">
        <v>4569</v>
      </c>
    </row>
    <row r="56" spans="3:6" ht="12.75">
      <c r="C56" s="10" t="s">
        <v>25</v>
      </c>
      <c r="D56" s="102">
        <v>829</v>
      </c>
      <c r="E56" s="7"/>
      <c r="F56" s="103">
        <v>2242</v>
      </c>
    </row>
    <row r="57" spans="3:6" ht="12.75">
      <c r="C57" s="10" t="s">
        <v>131</v>
      </c>
      <c r="D57" s="102">
        <v>1000</v>
      </c>
      <c r="E57" s="7"/>
      <c r="F57" s="103">
        <v>0</v>
      </c>
    </row>
    <row r="58" spans="2:6" ht="12.75">
      <c r="B58" s="24" t="s">
        <v>115</v>
      </c>
      <c r="D58" s="108">
        <f>SUM(D49:D57)</f>
        <v>134542</v>
      </c>
      <c r="E58" s="13"/>
      <c r="F58" s="109">
        <f>SUM(F49:F57)</f>
        <v>-915</v>
      </c>
    </row>
    <row r="59" ht="12.75">
      <c r="D59" s="110"/>
    </row>
    <row r="60" spans="1:4" ht="12.75">
      <c r="A60" s="24" t="s">
        <v>50</v>
      </c>
      <c r="D60" s="110"/>
    </row>
    <row r="61" spans="3:6" ht="12.75">
      <c r="C61" s="10" t="s">
        <v>156</v>
      </c>
      <c r="D61" s="102">
        <f>17+1285</f>
        <v>1302</v>
      </c>
      <c r="E61" s="7"/>
      <c r="F61" s="103">
        <v>41</v>
      </c>
    </row>
    <row r="62" spans="3:6" ht="12.75">
      <c r="C62" s="10" t="s">
        <v>160</v>
      </c>
      <c r="D62" s="102">
        <v>119</v>
      </c>
      <c r="E62" s="7"/>
      <c r="F62" s="103">
        <v>-383</v>
      </c>
    </row>
    <row r="63" spans="3:6" ht="12.75">
      <c r="C63" s="10" t="s">
        <v>157</v>
      </c>
      <c r="D63" s="102">
        <v>29833</v>
      </c>
      <c r="E63" s="7"/>
      <c r="F63" s="103">
        <v>-15398</v>
      </c>
    </row>
    <row r="64" spans="3:6" ht="12.75">
      <c r="C64" s="8" t="s">
        <v>161</v>
      </c>
      <c r="D64" s="102">
        <f>-151317-1500-34511</f>
        <v>-187328</v>
      </c>
      <c r="E64" s="7"/>
      <c r="F64" s="103">
        <v>-7367</v>
      </c>
    </row>
    <row r="65" spans="3:6" ht="12.75">
      <c r="C65" s="10" t="s">
        <v>158</v>
      </c>
      <c r="D65" s="102">
        <v>2153</v>
      </c>
      <c r="E65" s="7"/>
      <c r="F65" s="103">
        <v>-2092</v>
      </c>
    </row>
    <row r="66" spans="3:6" ht="12.75">
      <c r="C66" s="10" t="s">
        <v>22</v>
      </c>
      <c r="D66" s="102">
        <v>-1247</v>
      </c>
      <c r="E66" s="7"/>
      <c r="F66" s="103">
        <v>-1398</v>
      </c>
    </row>
    <row r="67" spans="3:6" ht="12.75">
      <c r="C67" s="25" t="s">
        <v>41</v>
      </c>
      <c r="D67" s="102">
        <v>0</v>
      </c>
      <c r="E67" s="7"/>
      <c r="F67" s="103">
        <v>-134</v>
      </c>
    </row>
    <row r="68" spans="1:6" ht="12.75">
      <c r="A68" s="10">
        <v>1</v>
      </c>
      <c r="B68" s="24" t="s">
        <v>116</v>
      </c>
      <c r="D68" s="108">
        <f>SUM(D61:D67)</f>
        <v>-155168</v>
      </c>
      <c r="E68" s="13"/>
      <c r="F68" s="109">
        <f>SUM(F61:F67)</f>
        <v>-26731</v>
      </c>
    </row>
    <row r="69" spans="4:6" ht="12.75">
      <c r="D69" s="111"/>
      <c r="E69" s="11"/>
      <c r="F69" s="112"/>
    </row>
    <row r="70" spans="1:6" ht="12.75">
      <c r="A70" s="24" t="s">
        <v>117</v>
      </c>
      <c r="D70" s="105">
        <f>D46+D58+D68</f>
        <v>-21917</v>
      </c>
      <c r="E70" s="13"/>
      <c r="F70" s="104">
        <f>F46+F58+F68</f>
        <v>-30167</v>
      </c>
    </row>
    <row r="71" spans="1:6" ht="12.75">
      <c r="A71" s="24" t="s">
        <v>106</v>
      </c>
      <c r="D71" s="105">
        <v>8</v>
      </c>
      <c r="E71" s="13"/>
      <c r="F71" s="104">
        <v>-5</v>
      </c>
    </row>
    <row r="72" spans="1:6" ht="12.75">
      <c r="A72" s="24" t="s">
        <v>134</v>
      </c>
      <c r="D72" s="106">
        <v>36757</v>
      </c>
      <c r="E72" s="13"/>
      <c r="F72" s="104">
        <v>66929</v>
      </c>
    </row>
    <row r="73" spans="1:6" ht="13.5" thickBot="1">
      <c r="A73" s="24" t="s">
        <v>135</v>
      </c>
      <c r="D73" s="113">
        <f>SUM(D70:D72)</f>
        <v>14848</v>
      </c>
      <c r="E73" s="13"/>
      <c r="F73" s="114">
        <f>SUM(F70:F72)</f>
        <v>36757</v>
      </c>
    </row>
    <row r="75" spans="2:6" ht="12.75">
      <c r="B75" s="14"/>
      <c r="C75" s="14"/>
      <c r="D75" s="32"/>
      <c r="E75" s="14"/>
      <c r="F75" s="32"/>
    </row>
  </sheetData>
  <printOptions horizontalCentered="1"/>
  <pageMargins left="0.9055118110236221" right="0.5118110236220472" top="0.3937007874015748" bottom="0.31496062992125984" header="0.7086614173228347" footer="0.1968503937007874"/>
  <pageSetup blackAndWhite="1" firstPageNumber="4" useFirstPageNumber="1" horizontalDpi="600" verticalDpi="600" orientation="portrait" scale="90" r:id="rId1"/>
  <headerFooter alignWithMargins="0">
    <oddFooter>&amp;C&amp;P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 MYC-SEC-PC00218</cp:lastModifiedBy>
  <cp:lastPrinted>2009-08-28T01:54:17Z</cp:lastPrinted>
  <dcterms:created xsi:type="dcterms:W3CDTF">2003-07-11T03:55:57Z</dcterms:created>
  <dcterms:modified xsi:type="dcterms:W3CDTF">2009-08-28T01:55:15Z</dcterms:modified>
  <cp:category/>
  <cp:version/>
  <cp:contentType/>
  <cp:contentStatus/>
</cp:coreProperties>
</file>