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460" windowHeight="4500" activeTab="2"/>
  </bookViews>
  <sheets>
    <sheet name="PL" sheetId="1" r:id="rId1"/>
    <sheet name="BS" sheetId="2" r:id="rId2"/>
    <sheet name="Note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Olympia Industries Berhad</author>
  </authors>
  <commentList>
    <comment ref="I20" authorId="0">
      <text>
        <r>
          <rPr>
            <sz val="8"/>
            <rFont val="Tahoma"/>
            <family val="0"/>
          </rPr>
          <t>As loss on sale of invt is not considered income added back to show zero</t>
        </r>
      </text>
    </comment>
  </commentList>
</comments>
</file>

<file path=xl/sharedStrings.xml><?xml version="1.0" encoding="utf-8"?>
<sst xmlns="http://schemas.openxmlformats.org/spreadsheetml/2006/main" count="259" uniqueCount="217">
  <si>
    <t>MYCOM BERHAD</t>
  </si>
  <si>
    <t>(Company No. 7296 V)</t>
  </si>
  <si>
    <t>(Incorporated in Malaysia)</t>
  </si>
  <si>
    <t xml:space="preserve">REPORT OF UNAUDITED RESULTS </t>
  </si>
  <si>
    <t>FOR THE QUARTER ENDED 31 DECEMBER 2001</t>
  </si>
  <si>
    <t xml:space="preserve">The Directors of Mycom Berhad hereby wish to announce the unaudited results of the Group for the second quarter ended  </t>
  </si>
  <si>
    <t>31 December 2001 as follows :</t>
  </si>
  <si>
    <t>INDIVIDUAL QUARTER</t>
  </si>
  <si>
    <t>CUMULATIVE QUARTER</t>
  </si>
  <si>
    <t>Preceding year</t>
  </si>
  <si>
    <t xml:space="preserve">Current </t>
  </si>
  <si>
    <t>corresponding</t>
  </si>
  <si>
    <t>Current year</t>
  </si>
  <si>
    <t>year quarter</t>
  </si>
  <si>
    <t>quarter</t>
  </si>
  <si>
    <t>to date</t>
  </si>
  <si>
    <t>period</t>
  </si>
  <si>
    <t>31 DEC 01</t>
  </si>
  <si>
    <t>31 DEC 00</t>
  </si>
  <si>
    <t>RM'000</t>
  </si>
  <si>
    <t>1</t>
  </si>
  <si>
    <t>(a)</t>
  </si>
  <si>
    <t>Revenue</t>
  </si>
  <si>
    <t>(b)</t>
  </si>
  <si>
    <t>Investment income</t>
  </si>
  <si>
    <t>(c)</t>
  </si>
  <si>
    <t xml:space="preserve">Other income </t>
  </si>
  <si>
    <t>2</t>
  </si>
  <si>
    <t>Profit before finance costs,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</si>
  <si>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</si>
  <si>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</si>
  <si>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</si>
  <si>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</si>
  <si>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</si>
  <si>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</si>
  <si>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</si>
  <si>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</si>
  <si>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 / (loss) before income tax,</t>
  </si>
  <si>
    <t>minority interest and extraordinary items</t>
  </si>
  <si>
    <t>(f)</t>
  </si>
  <si>
    <t>Share of profit and losses of associated companies</t>
  </si>
  <si>
    <t>(g)</t>
  </si>
  <si>
    <t>Profit / (loss) before income tax, minority interests</t>
  </si>
  <si>
    <t>and extraordinary items</t>
  </si>
  <si>
    <t>(h)</t>
  </si>
  <si>
    <t>Taxation</t>
  </si>
  <si>
    <t>(i)</t>
  </si>
  <si>
    <t>Profit / (loss) after income tax before deducting</t>
  </si>
  <si>
    <t>minority interest</t>
  </si>
  <si>
    <t>(ii)</t>
  </si>
  <si>
    <t>Less minority interests</t>
  </si>
  <si>
    <t>(j)</t>
  </si>
  <si>
    <t>Pre-acquisition profit / (loss)</t>
  </si>
  <si>
    <t>(k)</t>
  </si>
  <si>
    <t xml:space="preserve">Net profit / (loss) from ordinary activities </t>
  </si>
  <si>
    <t>attributable to members of the company</t>
  </si>
  <si>
    <t>(l)</t>
  </si>
  <si>
    <t>Extraordinary items</t>
  </si>
  <si>
    <t>(iii)</t>
  </si>
  <si>
    <t>Extraordinary items attributable to members</t>
  </si>
  <si>
    <t>of the company</t>
  </si>
  <si>
    <t>(m)</t>
  </si>
  <si>
    <t>Net profit / (loss) attributable to  members</t>
  </si>
  <si>
    <t>3</t>
  </si>
  <si>
    <t>Earnings per share based on 2(m) above after</t>
  </si>
  <si>
    <t xml:space="preserve">deducting any provision for preference </t>
  </si>
  <si>
    <t>dividends, if any :-</t>
  </si>
  <si>
    <t xml:space="preserve">Basic (based on 392,683,000 ordinary </t>
  </si>
  <si>
    <t>shares) (sen)</t>
  </si>
  <si>
    <t xml:space="preserve">Fully diluted </t>
  </si>
  <si>
    <t>N/A</t>
  </si>
  <si>
    <t>MYCOM BERHAD (7296-V)</t>
  </si>
  <si>
    <t>Unaudited Consolidated Balance Sheet as at 31 December 2001</t>
  </si>
  <si>
    <t>AS AT END OF</t>
  </si>
  <si>
    <t>AS AT PRECEDING</t>
  </si>
  <si>
    <t>CURRENT QUARTER</t>
  </si>
  <si>
    <t>FINANCIAL YEAR END</t>
  </si>
  <si>
    <t>30 JUNE 01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</si>
  <si>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</si>
  <si>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</si>
  <si>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</si>
  <si>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</si>
  <si>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</si>
  <si>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</si>
  <si>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</si>
  <si>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</si>
  <si>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</si>
  <si>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</si>
  <si>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</si>
  <si>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</si>
  <si>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</si>
  <si>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</si>
  <si>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</si>
  <si>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</si>
  <si>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Development properties</t>
  </si>
  <si>
    <t>Other Debtors</t>
  </si>
  <si>
    <t>Current Liabilities</t>
  </si>
  <si>
    <t xml:space="preserve">Trade payables </t>
  </si>
  <si>
    <t>Other payables</t>
  </si>
  <si>
    <t>Short term borrowings</t>
  </si>
  <si>
    <t>Provision for taxation</t>
  </si>
  <si>
    <t>Proposed dividend</t>
  </si>
  <si>
    <t xml:space="preserve">Others 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</si>
  <si>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</si>
  <si>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</si>
  <si>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</si>
  <si>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</si>
  <si>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</si>
  <si>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</si>
  <si>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</si>
  <si>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</si>
  <si>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Other Reserve</t>
  </si>
  <si>
    <t>Accumulated losses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</si>
  <si>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</si>
  <si>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</si>
  <si>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</si>
  <si>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</si>
  <si>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</si>
  <si>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Notes </t>
  </si>
  <si>
    <t>Accounting Policies</t>
  </si>
  <si>
    <t>The quarterly financial statements have been prepared based on accounting policies and methods of computation consistent</t>
  </si>
  <si>
    <t>with those adopted in the 2001 Annual Report.</t>
  </si>
  <si>
    <t>Exceptional Items</t>
  </si>
  <si>
    <t xml:space="preserve">The exceptional item of RM6,947,000 for the financial year-to-date represents gain on disposal of investment in an </t>
  </si>
  <si>
    <t>associated company.</t>
  </si>
  <si>
    <t>Extraordinary Items</t>
  </si>
  <si>
    <t>There were no extraordinary items for the current quarter and financial year-to-date.</t>
  </si>
  <si>
    <t>Taxation charge for the Group does not include any material deferred tax and/or adjustment for under or over provision in</t>
  </si>
  <si>
    <t>respect of prior years. The disproportionate taxation charge for the Group was mainly due to the absence of Group relief</t>
  </si>
  <si>
    <t>for losses sufferred by the Company and certain subsidiaries.</t>
  </si>
  <si>
    <t>Sale of Unquoted Investments and/or Properties</t>
  </si>
  <si>
    <t>There were no material sale of unquoted investments nor properties for the current quarter and financial year-to-date.</t>
  </si>
  <si>
    <t>Quoted Securities</t>
  </si>
  <si>
    <t>Particulars of  Quoted Securities :</t>
  </si>
  <si>
    <t>Current financial</t>
  </si>
  <si>
    <t>Current quarter</t>
  </si>
  <si>
    <t>year-to-date</t>
  </si>
  <si>
    <t xml:space="preserve">Purchases / disposal </t>
  </si>
  <si>
    <t>Total purchases</t>
  </si>
  <si>
    <t>Total sale proceeds</t>
  </si>
  <si>
    <t>Total gain/(loss) on disposal</t>
  </si>
  <si>
    <t>Balances as at 31 December 2001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</si>
  <si>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</si>
  <si>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</si>
  <si>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</si>
  <si>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</si>
  <si>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</si>
  <si>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Changes in the Composition of the Group</t>
  </si>
  <si>
    <t>There were no material changes in the Composition of the Group for the current quarter and financial year-to-date.</t>
  </si>
  <si>
    <t>Status of Corporate Proposals</t>
  </si>
  <si>
    <t xml:space="preserve">The Company had submitted the application in respect of the amended Proposed Restructuring Scheme (Amended Scheme) </t>
  </si>
  <si>
    <t>to the Securities Commission (SC) on 3 December 2001, Foreign Investment Committee (FIC) and Ministry of International</t>
  </si>
  <si>
    <t>Trade and Industry (MITI) on 8 December 2001 and Bank Negara Malaysia (BNM) on 3 October 2001 to regularise its</t>
  </si>
  <si>
    <t xml:space="preserve">financial position. The approvals from BNM, FIC and MITI on the Amended Scheme have been obtained whilst the  approval  </t>
  </si>
  <si>
    <t>from the SC is still pending.</t>
  </si>
  <si>
    <t>Changes in Share Capital</t>
  </si>
  <si>
    <t xml:space="preserve">The Group was not involved in any issuance and repayment of debt and equity securities, share buy-backs, share cancellations, </t>
  </si>
  <si>
    <t>shares held as treasury shares and resale of treasury shares for the current financial year-to-date.</t>
  </si>
  <si>
    <t>Group Borrowings</t>
  </si>
  <si>
    <t>As at 31 December 2001, the Group borrowings are as follows :</t>
  </si>
  <si>
    <t>Short term borrowings :</t>
  </si>
  <si>
    <t>*</t>
  </si>
  <si>
    <t xml:space="preserve">Secured </t>
  </si>
  <si>
    <t xml:space="preserve">Unsecured </t>
  </si>
  <si>
    <t>The Group has no long term borrowings.</t>
  </si>
  <si>
    <t>Included in the secured short term borrowings are foreign currency loans of USD54,698,000 and Rand31,481,000</t>
  </si>
  <si>
    <t>Contingent Liabilities</t>
  </si>
  <si>
    <t>The contingent liabilities amount to RM100,099,000 at the date of this report. The above contingent liabilities are mainly</t>
  </si>
  <si>
    <t>related to corporate guarantee given to financial institutions in respect of facilities granted to an associated company.</t>
  </si>
  <si>
    <t>Off Balance Sheet Financial Instruments</t>
  </si>
  <si>
    <t>There were no financial instruments with off-balance sheet risk at the date of this report.</t>
  </si>
  <si>
    <t>Material Litigation</t>
  </si>
  <si>
    <t>Segmental Reporting</t>
  </si>
  <si>
    <t>Segmental analysis for the current financial year-to-date  is as follows :</t>
  </si>
  <si>
    <t>Profit / (Loss)</t>
  </si>
  <si>
    <t xml:space="preserve">Total assets </t>
  </si>
  <si>
    <t>before taxation</t>
  </si>
  <si>
    <t>employed</t>
  </si>
  <si>
    <t>Analysis by activity</t>
  </si>
  <si>
    <t>Property development</t>
  </si>
  <si>
    <t>Plantation</t>
  </si>
  <si>
    <t>Granite quarry</t>
  </si>
  <si>
    <t>Manufacturing and trading</t>
  </si>
  <si>
    <t>Investment holding and</t>
  </si>
  <si>
    <t>others</t>
  </si>
  <si>
    <t>Analysis by geographical</t>
  </si>
  <si>
    <t>location</t>
  </si>
  <si>
    <t>Malaysia</t>
  </si>
  <si>
    <t>South Africa</t>
  </si>
  <si>
    <t>Material Changes in the Quarterly Results</t>
  </si>
  <si>
    <t>There is no material change in the results for the current quarter as compared to the previous quarter.</t>
  </si>
  <si>
    <t>Review of Performance</t>
  </si>
  <si>
    <t>The decline was mainly caused by lower contribution from the granite division.</t>
  </si>
  <si>
    <t>In tandem with the lower revenue recorded, and coupled with lower Exceptional gain realised for the current financial period,</t>
  </si>
  <si>
    <t xml:space="preserve">the group reported a Loss before tax of RM28.3 million as compared to Profit before tax of RM12.6 million reported in the </t>
  </si>
  <si>
    <t>same period last year.</t>
  </si>
  <si>
    <t>Subsequent events</t>
  </si>
  <si>
    <t>There is no significant event which has occurred between 31 December 2001 and the date of this report.</t>
  </si>
  <si>
    <t>Seasonal or Cyclical Factors</t>
  </si>
  <si>
    <t>The Group's business operations are not significantly affected by any seasonal and cyclical factors.</t>
  </si>
  <si>
    <t>19.</t>
  </si>
  <si>
    <t>Current Year Prospect</t>
  </si>
  <si>
    <t xml:space="preserve">Pending approvals of the proposed restructuring scheme and its implementation thereof, the Group's operating results are </t>
  </si>
  <si>
    <t>not expected to register any major changes for the remaining period of the current financial year.</t>
  </si>
  <si>
    <t>20.</t>
  </si>
  <si>
    <t>Variance from Profit Forecast</t>
  </si>
  <si>
    <t>Not applicable.</t>
  </si>
  <si>
    <t>21.</t>
  </si>
  <si>
    <t>Dividend</t>
  </si>
  <si>
    <t>No dividend has been recommended for the current financial year-to-date.</t>
  </si>
  <si>
    <t>On behalf of the Board</t>
  </si>
  <si>
    <t>Yap Siew Khim</t>
  </si>
  <si>
    <t>Company Secretary</t>
  </si>
  <si>
    <t>Kuala Lumpur</t>
  </si>
  <si>
    <t>27th February 2002</t>
  </si>
  <si>
    <t>The list of material litigation is attached as Annexure 1.</t>
  </si>
  <si>
    <t xml:space="preserve">Revenue for the first half-year at RM148.6 million was 9% lower than the revenue recorded in the same period last year.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</si>
</sst>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MS Sans Serif"/>
      <family val="0"/>
    </font>
    <font>
      <u val="singleAccounting"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15" applyNumberFormat="1" applyFont="1" applyAlignment="1">
      <alignment horizontal="centerContinuous"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centerContinuous"/>
    </xf>
    <xf numFmtId="38" fontId="1" fillId="0" borderId="0" xfId="0" applyNumberFormat="1" applyFont="1" applyAlignment="1" quotePrefix="1">
      <alignment horizontal="left"/>
    </xf>
    <xf numFmtId="38" fontId="1" fillId="0" borderId="0" xfId="15" applyNumberFormat="1" applyFont="1" applyAlignment="1">
      <alignment/>
    </xf>
    <xf numFmtId="38" fontId="2" fillId="0" borderId="0" xfId="0" applyNumberFormat="1" applyFont="1" applyAlignment="1" quotePrefix="1">
      <alignment horizontal="left"/>
    </xf>
    <xf numFmtId="38" fontId="2" fillId="0" borderId="0" xfId="15" applyNumberFormat="1" applyFont="1" applyAlignment="1">
      <alignment horizontal="center"/>
    </xf>
    <xf numFmtId="38" fontId="2" fillId="0" borderId="0" xfId="15" applyNumberFormat="1" applyFont="1" applyBorder="1" applyAlignment="1">
      <alignment horizontal="center"/>
    </xf>
    <xf numFmtId="38" fontId="2" fillId="0" borderId="0" xfId="15" applyNumberFormat="1" applyFont="1" applyAlignment="1" quotePrefix="1">
      <alignment horizontal="center"/>
    </xf>
    <xf numFmtId="38" fontId="2" fillId="0" borderId="0" xfId="15" applyNumberFormat="1" applyFont="1" applyBorder="1" applyAlignment="1" quotePrefix="1">
      <alignment horizontal="center"/>
    </xf>
    <xf numFmtId="38" fontId="1" fillId="0" borderId="0" xfId="15" applyNumberFormat="1" applyFont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1" xfId="15" applyNumberFormat="1" applyFont="1" applyBorder="1" applyAlignment="1" quotePrefix="1">
      <alignment/>
    </xf>
    <xf numFmtId="38" fontId="1" fillId="0" borderId="0" xfId="15" applyNumberFormat="1" applyFont="1" applyAlignment="1" quotePrefix="1">
      <alignment/>
    </xf>
    <xf numFmtId="38" fontId="1" fillId="0" borderId="0" xfId="15" applyNumberFormat="1" applyFont="1" applyFill="1" applyAlignment="1" quotePrefix="1">
      <alignment/>
    </xf>
    <xf numFmtId="38" fontId="1" fillId="0" borderId="0" xfId="15" applyNumberFormat="1" applyFont="1" applyFill="1" applyAlignment="1">
      <alignment/>
    </xf>
    <xf numFmtId="38" fontId="1" fillId="0" borderId="2" xfId="15" applyNumberFormat="1" applyFont="1" applyBorder="1" applyAlignment="1">
      <alignment/>
    </xf>
    <xf numFmtId="38" fontId="1" fillId="0" borderId="0" xfId="0" applyNumberFormat="1" applyFont="1" applyAlignment="1">
      <alignment horizontal="left"/>
    </xf>
    <xf numFmtId="40" fontId="1" fillId="0" borderId="0" xfId="15" applyNumberFormat="1" applyFont="1" applyAlignment="1">
      <alignment/>
    </xf>
    <xf numFmtId="38" fontId="0" fillId="0" borderId="0" xfId="15" applyNumberForma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1" fillId="0" borderId="0" xfId="15" applyNumberFormat="1" applyFont="1" applyAlignment="1">
      <alignment horizontal="righ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/>
    </xf>
    <xf numFmtId="170" fontId="1" fillId="0" borderId="0" xfId="15" applyNumberFormat="1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70" fontId="1" fillId="0" borderId="0" xfId="15" applyNumberFormat="1" applyFont="1" applyAlignment="1">
      <alignment horizontal="right"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170" fontId="1" fillId="0" borderId="5" xfId="15" applyNumberFormat="1" applyFont="1" applyBorder="1" applyAlignment="1">
      <alignment/>
    </xf>
    <xf numFmtId="170" fontId="1" fillId="0" borderId="6" xfId="15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170" fontId="1" fillId="0" borderId="7" xfId="15" applyNumberFormat="1" applyFont="1" applyBorder="1" applyAlignment="1">
      <alignment/>
    </xf>
    <xf numFmtId="170" fontId="1" fillId="0" borderId="2" xfId="15" applyNumberFormat="1" applyFont="1" applyBorder="1" applyAlignment="1">
      <alignment/>
    </xf>
    <xf numFmtId="40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1" fontId="1" fillId="0" borderId="0" xfId="15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6" fillId="0" borderId="0" xfId="0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7" xfId="0" applyNumberFormat="1" applyFont="1" applyBorder="1" applyAlignment="1">
      <alignment horizontal="right"/>
    </xf>
    <xf numFmtId="170" fontId="1" fillId="0" borderId="0" xfId="15" applyNumberFormat="1" applyFon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0" fontId="4" fillId="0" borderId="0" xfId="0" applyFont="1" applyAlignment="1">
      <alignment/>
    </xf>
    <xf numFmtId="170" fontId="7" fillId="0" borderId="0" xfId="15" applyNumberFormat="1" applyFont="1" applyAlignment="1" quotePrefix="1">
      <alignment horizontal="center"/>
    </xf>
    <xf numFmtId="38" fontId="1" fillId="0" borderId="7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 quotePrefix="1">
      <alignment horizontal="left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 quotePrefix="1">
      <alignment horizontal="left"/>
    </xf>
    <xf numFmtId="15" fontId="1" fillId="0" borderId="0" xfId="0" applyNumberFormat="1" applyFont="1" applyFill="1" applyAlignment="1">
      <alignment horizontal="left"/>
    </xf>
    <xf numFmtId="38" fontId="1" fillId="0" borderId="0" xfId="0" applyNumberFormat="1" applyFont="1" applyAlignment="1">
      <alignment horizontal="center"/>
    </xf>
    <xf numFmtId="38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com%20Dec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&amp;L"/>
      <sheetName val=" BS"/>
      <sheetName val="sgmt"/>
      <sheetName val="J"/>
      <sheetName val="Adj"/>
      <sheetName val="C&amp;M"/>
      <sheetName val="N1"/>
      <sheetName val="Proof"/>
      <sheetName val="N2"/>
      <sheetName val="pl"/>
      <sheetName val="bs"/>
      <sheetName val="n"/>
      <sheetName val="A1"/>
      <sheetName val="A2"/>
      <sheetName val="A3"/>
      <sheetName val="A4"/>
      <sheetName val="C&amp;B"/>
      <sheetName val="CL2"/>
      <sheetName val="CL1"/>
      <sheetName val="A Bud"/>
      <sheetName val="Bud"/>
      <sheetName val="CF1"/>
      <sheetName val="CF2"/>
      <sheetName val="CF3"/>
      <sheetName val="YTDA"/>
      <sheetName val="YTDB"/>
      <sheetName val="mi"/>
    </sheetNames>
    <sheetDataSet>
      <sheetData sheetId="0">
        <row r="8">
          <cell r="T8">
            <v>148610006.50531155</v>
          </cell>
        </row>
        <row r="17">
          <cell r="T17">
            <v>-9970988.013318535</v>
          </cell>
        </row>
        <row r="24">
          <cell r="T24">
            <v>6947225</v>
          </cell>
        </row>
        <row r="25">
          <cell r="T25">
            <v>-28381152.472807974</v>
          </cell>
        </row>
        <row r="27">
          <cell r="T27">
            <v>-1684336.1344537814</v>
          </cell>
        </row>
        <row r="30">
          <cell r="T30">
            <v>2983029.702711273</v>
          </cell>
        </row>
      </sheetData>
      <sheetData sheetId="1">
        <row r="8">
          <cell r="W8">
            <v>493724.70305882354</v>
          </cell>
        </row>
        <row r="13">
          <cell r="W13">
            <v>0</v>
          </cell>
        </row>
        <row r="17">
          <cell r="W17">
            <v>338383.498</v>
          </cell>
        </row>
        <row r="19">
          <cell r="W19">
            <v>76</v>
          </cell>
        </row>
        <row r="22">
          <cell r="W22">
            <v>52188</v>
          </cell>
        </row>
        <row r="36">
          <cell r="W36">
            <v>33305</v>
          </cell>
        </row>
        <row r="43">
          <cell r="W43">
            <v>77854.88437815126</v>
          </cell>
        </row>
        <row r="46">
          <cell r="W46">
            <v>80272.93132773109</v>
          </cell>
        </row>
        <row r="48">
          <cell r="W48">
            <v>33181.26549579832</v>
          </cell>
        </row>
        <row r="50">
          <cell r="W50">
            <v>0</v>
          </cell>
        </row>
        <row r="53">
          <cell r="W53">
            <v>596.071</v>
          </cell>
        </row>
        <row r="54">
          <cell r="W54">
            <v>-489.461</v>
          </cell>
        </row>
        <row r="55">
          <cell r="W55">
            <v>2003.212</v>
          </cell>
        </row>
        <row r="56">
          <cell r="W56">
            <v>11299.130512605043</v>
          </cell>
        </row>
        <row r="57">
          <cell r="W57">
            <v>3690</v>
          </cell>
        </row>
        <row r="66">
          <cell r="W66">
            <v>-81830.00496638655</v>
          </cell>
        </row>
        <row r="68">
          <cell r="W68">
            <v>-224910.59307563026</v>
          </cell>
        </row>
        <row r="70">
          <cell r="W70">
            <v>-629.805</v>
          </cell>
        </row>
        <row r="71">
          <cell r="W71">
            <v>-1102.294</v>
          </cell>
        </row>
        <row r="79">
          <cell r="W79">
            <v>-612293.0213109244</v>
          </cell>
        </row>
        <row r="83">
          <cell r="W83">
            <v>-32122.763</v>
          </cell>
        </row>
        <row r="84">
          <cell r="W84">
            <v>-15508.248</v>
          </cell>
        </row>
        <row r="85">
          <cell r="W85">
            <v>-194479.174</v>
          </cell>
        </row>
        <row r="86">
          <cell r="W86">
            <v>-16531.43193277311</v>
          </cell>
        </row>
        <row r="91">
          <cell r="W91">
            <v>-392682.0730899999</v>
          </cell>
        </row>
        <row r="93">
          <cell r="W93">
            <v>-134488.604</v>
          </cell>
        </row>
        <row r="94">
          <cell r="W94">
            <v>-105038.77419999999</v>
          </cell>
        </row>
        <row r="95">
          <cell r="W95">
            <v>-474.444</v>
          </cell>
        </row>
        <row r="97">
          <cell r="W97">
            <v>2200.868</v>
          </cell>
        </row>
        <row r="98">
          <cell r="W98">
            <v>-8138.287</v>
          </cell>
        </row>
        <row r="104">
          <cell r="W104">
            <v>-5046.218487394959</v>
          </cell>
        </row>
        <row r="112">
          <cell r="W112">
            <v>0</v>
          </cell>
        </row>
        <row r="116">
          <cell r="W116">
            <v>-13317</v>
          </cell>
        </row>
        <row r="117">
          <cell r="W117">
            <v>-82365.28945672269</v>
          </cell>
        </row>
      </sheetData>
      <sheetData sheetId="2">
        <row r="12">
          <cell r="D12">
            <v>2322000</v>
          </cell>
        </row>
        <row r="14">
          <cell r="C14">
            <v>13390000</v>
          </cell>
          <cell r="E14">
            <v>118473181</v>
          </cell>
        </row>
        <row r="19">
          <cell r="D19">
            <v>3622729</v>
          </cell>
        </row>
        <row r="21">
          <cell r="C21">
            <v>11215352</v>
          </cell>
          <cell r="E21">
            <v>311106128</v>
          </cell>
        </row>
        <row r="25">
          <cell r="C25">
            <v>97037073.88615823</v>
          </cell>
          <cell r="D25">
            <v>1255898.2083399398</v>
          </cell>
          <cell r="E25">
            <v>153422702.10084033</v>
          </cell>
        </row>
        <row r="32">
          <cell r="E32">
            <v>4829471.848739496</v>
          </cell>
        </row>
        <row r="33">
          <cell r="C33">
            <v>26371660.61915332</v>
          </cell>
          <cell r="D33">
            <v>-12173849.328999525</v>
          </cell>
          <cell r="E33">
            <v>175479492.8487395</v>
          </cell>
        </row>
        <row r="47">
          <cell r="E47">
            <v>3701408.823529412</v>
          </cell>
        </row>
        <row r="50">
          <cell r="C50">
            <v>595920</v>
          </cell>
          <cell r="D50">
            <v>-23407930.352148406</v>
          </cell>
          <cell r="E50">
            <v>367603731.82352936</v>
          </cell>
        </row>
        <row r="60">
          <cell r="C60">
            <v>50450772</v>
          </cell>
          <cell r="D60">
            <v>-28660928.000000004</v>
          </cell>
          <cell r="E60">
            <v>964131653</v>
          </cell>
        </row>
        <row r="62">
          <cell r="C62">
            <v>98159234.50531155</v>
          </cell>
          <cell r="D62">
            <v>279775.52719200903</v>
          </cell>
        </row>
      </sheetData>
      <sheetData sheetId="6">
        <row r="56">
          <cell r="T56">
            <v>0</v>
          </cell>
        </row>
        <row r="86">
          <cell r="T86">
            <v>36493772.19407008</v>
          </cell>
        </row>
        <row r="87">
          <cell r="T87">
            <v>43000</v>
          </cell>
        </row>
        <row r="89">
          <cell r="T89">
            <v>5453</v>
          </cell>
        </row>
        <row r="91">
          <cell r="T91">
            <v>0</v>
          </cell>
        </row>
        <row r="92">
          <cell r="T92">
            <v>8000</v>
          </cell>
        </row>
        <row r="100">
          <cell r="T100">
            <v>198154.50166481687</v>
          </cell>
        </row>
      </sheetData>
      <sheetData sheetId="9">
        <row r="61">
          <cell r="I61">
            <v>-27081.458904550484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F65">
      <selection activeCell="A1" sqref="A1:J71"/>
    </sheetView>
  </sheetViews>
  <sheetFormatPr defaultColWidth="9.140625" defaultRowHeight="12.75"/>
  <cols>
    <col min="1" max="1" width="2.421875" style="2" customWidth="1"/>
    <col min="2" max="2" width="3.7109375" style="2" customWidth="1"/>
    <col min="3" max="3" width="3.28125" style="2" customWidth="1"/>
    <col min="4" max="4" width="12.140625" style="2" customWidth="1"/>
    <col min="5" max="5" width="31.00390625" style="2" customWidth="1"/>
    <col min="6" max="6" width="12.7109375" style="4" customWidth="1"/>
    <col min="7" max="7" width="13.8515625" style="4" customWidth="1"/>
    <col min="8" max="8" width="3.140625" style="10" customWidth="1"/>
    <col min="9" max="9" width="12.8515625" style="4" customWidth="1"/>
    <col min="10" max="10" width="14.421875" style="4" customWidth="1"/>
    <col min="11" max="12" width="9.140625" style="2" customWidth="1"/>
    <col min="13" max="13" width="1.7109375" style="2" customWidth="1"/>
    <col min="14" max="14" width="12.7109375" style="3" customWidth="1"/>
    <col min="15" max="16384" width="9.140625" style="2" customWidth="1"/>
  </cols>
  <sheetData>
    <row r="1" spans="1:10" ht="12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2.7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</row>
    <row r="4" ht="12.75">
      <c r="H4" s="5"/>
    </row>
    <row r="5" spans="1:14" s="6" customFormat="1" ht="12.75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  <c r="N5" s="7"/>
    </row>
    <row r="6" spans="1:14" s="6" customFormat="1" ht="12.75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  <c r="N6" s="7"/>
    </row>
    <row r="7" spans="1:8" ht="12.75">
      <c r="A7" s="8"/>
      <c r="B7" s="8"/>
      <c r="C7" s="8"/>
      <c r="D7" s="8"/>
      <c r="E7" s="8"/>
      <c r="H7" s="5"/>
    </row>
    <row r="8" ht="12.75">
      <c r="A8" s="9" t="s">
        <v>5</v>
      </c>
    </row>
    <row r="9" ht="12.75">
      <c r="A9" s="9" t="s">
        <v>6</v>
      </c>
    </row>
    <row r="10" ht="12.75">
      <c r="A10" s="11"/>
    </row>
    <row r="11" spans="6:10" ht="12.75">
      <c r="F11" s="77" t="s">
        <v>7</v>
      </c>
      <c r="G11" s="77"/>
      <c r="H11" s="4"/>
      <c r="I11" s="77" t="s">
        <v>8</v>
      </c>
      <c r="J11" s="77"/>
    </row>
    <row r="12" spans="6:10" ht="12.75">
      <c r="F12" s="12"/>
      <c r="G12" s="12" t="s">
        <v>9</v>
      </c>
      <c r="H12" s="12"/>
      <c r="I12" s="12"/>
      <c r="J12" s="12" t="s">
        <v>9</v>
      </c>
    </row>
    <row r="13" spans="6:14" ht="12.75">
      <c r="F13" s="12" t="s">
        <v>10</v>
      </c>
      <c r="G13" s="12" t="s">
        <v>11</v>
      </c>
      <c r="H13" s="12"/>
      <c r="I13" s="12" t="s">
        <v>12</v>
      </c>
      <c r="J13" s="12" t="s">
        <v>11</v>
      </c>
      <c r="N13" s="13"/>
    </row>
    <row r="14" spans="6:14" ht="12.75">
      <c r="F14" s="14" t="s">
        <v>13</v>
      </c>
      <c r="G14" s="12" t="s">
        <v>14</v>
      </c>
      <c r="H14" s="12"/>
      <c r="I14" s="12" t="s">
        <v>15</v>
      </c>
      <c r="J14" s="12" t="s">
        <v>16</v>
      </c>
      <c r="N14" s="15"/>
    </row>
    <row r="15" spans="6:14" ht="12.75">
      <c r="F15" s="14" t="s">
        <v>17</v>
      </c>
      <c r="G15" s="14" t="s">
        <v>18</v>
      </c>
      <c r="H15" s="12"/>
      <c r="I15" s="14" t="s">
        <v>17</v>
      </c>
      <c r="J15" s="14" t="s">
        <v>18</v>
      </c>
      <c r="N15" s="15"/>
    </row>
    <row r="16" spans="6:14" ht="12.75">
      <c r="F16" s="12" t="s">
        <v>19</v>
      </c>
      <c r="G16" s="14" t="s">
        <v>19</v>
      </c>
      <c r="H16" s="12"/>
      <c r="I16" s="12" t="s">
        <v>19</v>
      </c>
      <c r="J16" s="14" t="s">
        <v>19</v>
      </c>
      <c r="N16" s="13"/>
    </row>
    <row r="17" ht="12.75">
      <c r="N17" s="16"/>
    </row>
    <row r="18" spans="1:14" ht="13.5" thickBot="1">
      <c r="A18" s="9" t="s">
        <v>20</v>
      </c>
      <c r="B18" s="9" t="s">
        <v>21</v>
      </c>
      <c r="C18" s="2" t="s">
        <v>22</v>
      </c>
      <c r="F18" s="17">
        <f>I18-71650</f>
        <v>76960.00650531155</v>
      </c>
      <c r="G18" s="18">
        <v>83457</v>
      </c>
      <c r="I18" s="18">
        <f>+'[1] P&amp;L'!$T$8/1000</f>
        <v>148610.00650531155</v>
      </c>
      <c r="J18" s="18">
        <v>163301</v>
      </c>
      <c r="N18" s="16"/>
    </row>
    <row r="19" ht="13.5" thickTop="1">
      <c r="N19" s="16"/>
    </row>
    <row r="20" spans="2:14" ht="13.5" thickBot="1">
      <c r="B20" s="9" t="s">
        <v>23</v>
      </c>
      <c r="C20" s="2" t="s">
        <v>24</v>
      </c>
      <c r="F20" s="17">
        <f>I20</f>
        <v>0</v>
      </c>
      <c r="G20" s="18">
        <v>0</v>
      </c>
      <c r="I20" s="18">
        <f>(+'[1]N1'!T56)/1000</f>
        <v>0</v>
      </c>
      <c r="J20" s="18">
        <v>0</v>
      </c>
      <c r="N20" s="16"/>
    </row>
    <row r="21" ht="13.5" thickTop="1">
      <c r="N21" s="16"/>
    </row>
    <row r="22" spans="2:14" ht="13.5" thickBot="1">
      <c r="B22" s="9" t="s">
        <v>25</v>
      </c>
      <c r="C22" s="2" t="s">
        <v>26</v>
      </c>
      <c r="F22" s="17">
        <f>I22-153</f>
        <v>45.15450166481688</v>
      </c>
      <c r="G22" s="18">
        <v>611</v>
      </c>
      <c r="I22" s="18">
        <f>'[1]N1'!T100/1000</f>
        <v>198.15450166481688</v>
      </c>
      <c r="J22" s="18">
        <v>778</v>
      </c>
      <c r="N22" s="16"/>
    </row>
    <row r="23" ht="13.5" thickTop="1">
      <c r="N23" s="16"/>
    </row>
    <row r="24" spans="1:14" ht="12.75">
      <c r="A24" s="9" t="s">
        <v>27</v>
      </c>
      <c r="B24" s="9" t="s">
        <v>21</v>
      </c>
      <c r="C24" s="9" t="s">
        <v>28</v>
      </c>
      <c r="N24" s="16"/>
    </row>
    <row r="25" spans="3:14" ht="12.75">
      <c r="C25" s="9" t="s">
        <v>29</v>
      </c>
      <c r="N25" s="16"/>
    </row>
    <row r="26" spans="3:14" ht="12.75">
      <c r="C26" s="9" t="s">
        <v>30</v>
      </c>
      <c r="N26" s="16"/>
    </row>
    <row r="27" spans="3:14" ht="12.75">
      <c r="C27" s="9" t="s">
        <v>31</v>
      </c>
      <c r="F27" s="4">
        <f>I27-2767</f>
        <v>8426.835734580643</v>
      </c>
      <c r="G27" s="19">
        <v>14858</v>
      </c>
      <c r="I27" s="4">
        <f>I36-I33-I31-I29</f>
        <v>11193.835734580643</v>
      </c>
      <c r="J27" s="19">
        <v>26128</v>
      </c>
      <c r="N27" s="16"/>
    </row>
    <row r="28" ht="12.75">
      <c r="N28" s="16"/>
    </row>
    <row r="29" spans="2:14" ht="12.75">
      <c r="B29" s="9" t="s">
        <v>23</v>
      </c>
      <c r="C29" s="2" t="s">
        <v>32</v>
      </c>
      <c r="F29" s="4">
        <f>I29+18791</f>
        <v>-17759.22519407008</v>
      </c>
      <c r="G29" s="19">
        <v>-21860</v>
      </c>
      <c r="I29" s="20">
        <f>(-'[1]N1'!T86-'[1]N1'!T87-'[1]N1'!T89-'[1]N1'!T91-'[1]N1'!T92)/1000</f>
        <v>-36550.22519407008</v>
      </c>
      <c r="J29" s="19">
        <v>-37785</v>
      </c>
      <c r="N29" s="16"/>
    </row>
    <row r="30" spans="9:14" ht="12.75">
      <c r="I30" s="21"/>
      <c r="N30" s="16"/>
    </row>
    <row r="31" spans="2:14" ht="12.75">
      <c r="B31" s="9" t="s">
        <v>25</v>
      </c>
      <c r="C31" s="2" t="s">
        <v>33</v>
      </c>
      <c r="F31" s="4">
        <f>I31+5484</f>
        <v>-4486.988013318534</v>
      </c>
      <c r="G31" s="19">
        <v>-5928</v>
      </c>
      <c r="I31" s="20">
        <f>'[1] P&amp;L'!T17/1000</f>
        <v>-9970.988013318534</v>
      </c>
      <c r="J31" s="19">
        <v>-12321</v>
      </c>
      <c r="N31" s="16"/>
    </row>
    <row r="32" ht="12.75">
      <c r="N32" s="16"/>
    </row>
    <row r="33" spans="2:14" ht="12.75">
      <c r="B33" s="9" t="s">
        <v>34</v>
      </c>
      <c r="C33" s="2" t="s">
        <v>35</v>
      </c>
      <c r="F33" s="4">
        <f>I33-6947</f>
        <v>0.2250000000003638</v>
      </c>
      <c r="G33" s="19">
        <v>0</v>
      </c>
      <c r="I33" s="19">
        <f>'[1] P&amp;L'!T24/1000</f>
        <v>6947.225</v>
      </c>
      <c r="J33" s="19">
        <v>36619</v>
      </c>
      <c r="N33" s="16"/>
    </row>
    <row r="34" ht="12.75">
      <c r="N34" s="16"/>
    </row>
    <row r="35" spans="2:14" ht="12.75">
      <c r="B35" s="9" t="s">
        <v>36</v>
      </c>
      <c r="C35" s="9" t="s">
        <v>37</v>
      </c>
      <c r="F35" s="22"/>
      <c r="G35" s="22"/>
      <c r="I35" s="22"/>
      <c r="J35" s="22"/>
      <c r="N35" s="16"/>
    </row>
    <row r="36" spans="3:14" ht="12.75">
      <c r="C36" s="2" t="s">
        <v>38</v>
      </c>
      <c r="F36" s="19">
        <f>SUM(F27:F33)</f>
        <v>-13819.152472807971</v>
      </c>
      <c r="G36" s="19">
        <f>SUM(G27:G33)</f>
        <v>-12930</v>
      </c>
      <c r="I36" s="19">
        <f>'[1] P&amp;L'!T25/1000+1</f>
        <v>-28380.152472807975</v>
      </c>
      <c r="J36" s="19">
        <f>SUM(J27:J33)</f>
        <v>12641</v>
      </c>
      <c r="N36" s="16"/>
    </row>
    <row r="37" ht="12.75">
      <c r="N37" s="16"/>
    </row>
    <row r="38" spans="2:14" ht="12.75">
      <c r="B38" s="9" t="s">
        <v>39</v>
      </c>
      <c r="C38" s="9" t="s">
        <v>40</v>
      </c>
      <c r="F38" s="4">
        <v>0</v>
      </c>
      <c r="G38" s="19">
        <v>0</v>
      </c>
      <c r="I38" s="19">
        <v>0</v>
      </c>
      <c r="J38" s="19">
        <v>0</v>
      </c>
      <c r="N38" s="16"/>
    </row>
    <row r="39" ht="12.75">
      <c r="N39" s="16"/>
    </row>
    <row r="40" spans="2:14" ht="12.75">
      <c r="B40" s="9" t="s">
        <v>41</v>
      </c>
      <c r="C40" s="9" t="s">
        <v>42</v>
      </c>
      <c r="F40" s="22"/>
      <c r="G40" s="22"/>
      <c r="I40" s="22"/>
      <c r="J40" s="22"/>
      <c r="N40" s="16"/>
    </row>
    <row r="41" spans="3:14" ht="12.75">
      <c r="C41" s="9" t="s">
        <v>43</v>
      </c>
      <c r="F41" s="4">
        <f>SUM(F36:F39)</f>
        <v>-13819.152472807971</v>
      </c>
      <c r="G41" s="4">
        <f>SUM(G36:G39)</f>
        <v>-12930</v>
      </c>
      <c r="I41" s="4">
        <f>SUM(I36:I39)</f>
        <v>-28380.152472807975</v>
      </c>
      <c r="J41" s="19">
        <f>SUM(J36:J39)</f>
        <v>12641</v>
      </c>
      <c r="N41" s="16"/>
    </row>
    <row r="42" ht="12.75">
      <c r="N42" s="16"/>
    </row>
    <row r="43" spans="2:14" ht="12.75">
      <c r="B43" s="9" t="s">
        <v>44</v>
      </c>
      <c r="C43" s="2" t="s">
        <v>45</v>
      </c>
      <c r="F43" s="4">
        <f>I43+367</f>
        <v>-1317.3361344537814</v>
      </c>
      <c r="G43" s="19">
        <v>-148</v>
      </c>
      <c r="I43" s="19">
        <f>+'[1] P&amp;L'!$T$27/1000</f>
        <v>-1684.3361344537814</v>
      </c>
      <c r="J43" s="19">
        <v>-464</v>
      </c>
      <c r="N43" s="16"/>
    </row>
    <row r="44" ht="12.75">
      <c r="N44" s="16"/>
    </row>
    <row r="45" spans="2:14" ht="12.75">
      <c r="B45" s="9" t="s">
        <v>46</v>
      </c>
      <c r="C45" s="9" t="s">
        <v>46</v>
      </c>
      <c r="D45" s="9" t="s">
        <v>47</v>
      </c>
      <c r="F45" s="22"/>
      <c r="G45" s="22"/>
      <c r="I45" s="22"/>
      <c r="J45" s="22"/>
      <c r="N45" s="16"/>
    </row>
    <row r="46" spans="4:14" ht="12.75">
      <c r="D46" s="9" t="s">
        <v>48</v>
      </c>
      <c r="F46" s="4">
        <f>SUM(F41:F44)</f>
        <v>-15136.488607261752</v>
      </c>
      <c r="G46" s="4">
        <f>SUM(G41:G44)</f>
        <v>-13078</v>
      </c>
      <c r="I46" s="4">
        <f>SUM(I41:I44)</f>
        <v>-30064.488607261756</v>
      </c>
      <c r="J46" s="19">
        <f>SUM(J41:J44)</f>
        <v>12177</v>
      </c>
      <c r="N46" s="16"/>
    </row>
    <row r="47" ht="12.75">
      <c r="N47" s="16"/>
    </row>
    <row r="48" spans="3:14" ht="12.75">
      <c r="C48" s="9" t="s">
        <v>49</v>
      </c>
      <c r="D48" s="9" t="s">
        <v>50</v>
      </c>
      <c r="F48" s="4">
        <f>I48-2633</f>
        <v>350.0297027112729</v>
      </c>
      <c r="G48" s="19">
        <v>3794</v>
      </c>
      <c r="I48" s="19">
        <f>+'[1] P&amp;L'!$T$30/1000</f>
        <v>2983.029702711273</v>
      </c>
      <c r="J48" s="19">
        <v>5934</v>
      </c>
      <c r="N48" s="16"/>
    </row>
    <row r="49" ht="12.75">
      <c r="N49" s="16"/>
    </row>
    <row r="50" spans="2:14" ht="12.75">
      <c r="B50" s="2" t="s">
        <v>51</v>
      </c>
      <c r="C50" s="2" t="s">
        <v>52</v>
      </c>
      <c r="F50" s="4">
        <f>I50</f>
        <v>0</v>
      </c>
      <c r="G50" s="4">
        <v>0</v>
      </c>
      <c r="I50" s="4">
        <v>0</v>
      </c>
      <c r="J50" s="4">
        <v>0</v>
      </c>
      <c r="N50" s="16"/>
    </row>
    <row r="51" ht="12.75">
      <c r="N51" s="16"/>
    </row>
    <row r="52" spans="2:14" ht="12.75">
      <c r="B52" s="23" t="s">
        <v>53</v>
      </c>
      <c r="C52" s="9" t="s">
        <v>54</v>
      </c>
      <c r="F52" s="22"/>
      <c r="G52" s="22"/>
      <c r="I52" s="22"/>
      <c r="J52" s="22"/>
      <c r="N52" s="16"/>
    </row>
    <row r="53" spans="3:14" ht="12.75">
      <c r="C53" s="9" t="s">
        <v>55</v>
      </c>
      <c r="F53" s="4">
        <f>SUM(F46:F49)</f>
        <v>-14786.45890455048</v>
      </c>
      <c r="G53" s="4">
        <f>SUM(G46:G49)</f>
        <v>-9284</v>
      </c>
      <c r="I53" s="4">
        <f>SUM(I46:I49)</f>
        <v>-27081.458904550484</v>
      </c>
      <c r="J53" s="19">
        <f>SUM(J45:J49)</f>
        <v>18111</v>
      </c>
      <c r="N53" s="16"/>
    </row>
    <row r="54" ht="12.75">
      <c r="N54" s="16"/>
    </row>
    <row r="55" spans="2:14" ht="12.75">
      <c r="B55" s="23" t="s">
        <v>56</v>
      </c>
      <c r="C55" s="9" t="s">
        <v>46</v>
      </c>
      <c r="D55" s="2" t="s">
        <v>57</v>
      </c>
      <c r="F55" s="4">
        <f>I55</f>
        <v>0</v>
      </c>
      <c r="G55" s="19">
        <v>0</v>
      </c>
      <c r="I55" s="19">
        <v>0</v>
      </c>
      <c r="J55" s="19">
        <v>0</v>
      </c>
      <c r="N55" s="16"/>
    </row>
    <row r="56" spans="3:14" ht="12.75">
      <c r="C56" s="9" t="s">
        <v>49</v>
      </c>
      <c r="D56" s="2" t="s">
        <v>50</v>
      </c>
      <c r="F56" s="4">
        <f>I56</f>
        <v>0</v>
      </c>
      <c r="G56" s="19">
        <v>0</v>
      </c>
      <c r="I56" s="19">
        <v>0</v>
      </c>
      <c r="J56" s="19">
        <v>0</v>
      </c>
      <c r="N56" s="16"/>
    </row>
    <row r="57" spans="3:14" ht="12.75">
      <c r="C57" s="9" t="s">
        <v>58</v>
      </c>
      <c r="D57" s="2" t="s">
        <v>59</v>
      </c>
      <c r="N57" s="16"/>
    </row>
    <row r="58" spans="4:14" ht="12.75">
      <c r="D58" s="2" t="s">
        <v>60</v>
      </c>
      <c r="F58" s="4">
        <f>I58</f>
        <v>0</v>
      </c>
      <c r="G58" s="19">
        <v>0</v>
      </c>
      <c r="I58" s="19">
        <v>0</v>
      </c>
      <c r="J58" s="19">
        <v>0</v>
      </c>
      <c r="N58" s="16"/>
    </row>
    <row r="59" ht="12.75">
      <c r="N59" s="16"/>
    </row>
    <row r="60" spans="2:14" ht="12.75">
      <c r="B60" s="23" t="s">
        <v>61</v>
      </c>
      <c r="C60" s="9" t="s">
        <v>62</v>
      </c>
      <c r="F60" s="22"/>
      <c r="G60" s="22"/>
      <c r="I60" s="22"/>
      <c r="J60" s="22"/>
      <c r="N60" s="16"/>
    </row>
    <row r="61" spans="3:14" ht="12.75">
      <c r="C61" s="2" t="s">
        <v>60</v>
      </c>
      <c r="F61" s="4">
        <f>SUM(F53:F60)</f>
        <v>-14786.45890455048</v>
      </c>
      <c r="G61" s="4">
        <f>SUM(G53:G60)</f>
        <v>-9284</v>
      </c>
      <c r="I61" s="4">
        <f>SUM(I53:I60)</f>
        <v>-27081.458904550484</v>
      </c>
      <c r="J61" s="19">
        <f>SUM(J53:J59)</f>
        <v>18111</v>
      </c>
      <c r="N61" s="16"/>
    </row>
    <row r="62" spans="6:14" ht="13.5" thickBot="1">
      <c r="F62" s="17"/>
      <c r="G62" s="17"/>
      <c r="I62" s="17"/>
      <c r="J62" s="17"/>
      <c r="N62" s="16"/>
    </row>
    <row r="63" ht="13.5" thickTop="1">
      <c r="N63" s="16"/>
    </row>
    <row r="64" spans="1:14" ht="12.75">
      <c r="A64" s="9" t="s">
        <v>63</v>
      </c>
      <c r="B64" s="9"/>
      <c r="C64" s="9" t="s">
        <v>64</v>
      </c>
      <c r="N64" s="16"/>
    </row>
    <row r="65" spans="3:14" ht="12.75">
      <c r="C65" s="2" t="s">
        <v>65</v>
      </c>
      <c r="N65" s="16"/>
    </row>
    <row r="66" spans="3:14" ht="12.75">
      <c r="C66" s="2" t="s">
        <v>66</v>
      </c>
      <c r="N66" s="16"/>
    </row>
    <row r="67" ht="12.75">
      <c r="N67" s="16"/>
    </row>
    <row r="68" spans="3:14" ht="12.75">
      <c r="C68" s="23" t="s">
        <v>21</v>
      </c>
      <c r="D68" s="9" t="s">
        <v>67</v>
      </c>
      <c r="F68" s="24">
        <f>+$F$61/392683*100</f>
        <v>-3.7654950442342754</v>
      </c>
      <c r="G68" s="24">
        <f>+G61/392683*100</f>
        <v>-2.364248006661862</v>
      </c>
      <c r="I68" s="24">
        <f>+I61/392683*100</f>
        <v>-6.896519305534103</v>
      </c>
      <c r="J68" s="24">
        <f>+J61/392683*100</f>
        <v>4.612117153021648</v>
      </c>
      <c r="N68" s="16"/>
    </row>
    <row r="69" spans="4:14" ht="12.75">
      <c r="D69" s="2" t="s">
        <v>68</v>
      </c>
      <c r="F69" s="25"/>
      <c r="I69" s="26"/>
      <c r="J69" s="26"/>
      <c r="N69" s="27"/>
    </row>
    <row r="70" ht="12.75">
      <c r="N70" s="16"/>
    </row>
    <row r="71" spans="3:14" ht="12.75">
      <c r="C71" s="23" t="s">
        <v>23</v>
      </c>
      <c r="D71" s="9" t="s">
        <v>69</v>
      </c>
      <c r="F71" s="28" t="s">
        <v>70</v>
      </c>
      <c r="G71" s="28" t="s">
        <v>70</v>
      </c>
      <c r="H71" s="28"/>
      <c r="I71" s="28" t="s">
        <v>70</v>
      </c>
      <c r="J71" s="28" t="s">
        <v>70</v>
      </c>
      <c r="N71" s="16"/>
    </row>
    <row r="72" spans="6:14" ht="12.75">
      <c r="F72" s="25"/>
      <c r="I72" s="26"/>
      <c r="N72" s="27"/>
    </row>
  </sheetData>
  <mergeCells count="7">
    <mergeCell ref="A6:J6"/>
    <mergeCell ref="F11:G11"/>
    <mergeCell ref="I11:J11"/>
    <mergeCell ref="A1:J1"/>
    <mergeCell ref="A2:J2"/>
    <mergeCell ref="A3:J3"/>
    <mergeCell ref="A5:J5"/>
  </mergeCells>
  <printOptions/>
  <pageMargins left="0.75" right="0.75" top="1" bottom="1" header="0.5" footer="0.5"/>
  <pageSetup fitToHeight="1" fitToWidth="1" orientation="portrait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D50">
      <selection activeCell="A1" sqref="A1:F56"/>
    </sheetView>
  </sheetViews>
  <sheetFormatPr defaultColWidth="9.140625" defaultRowHeight="12.75"/>
  <cols>
    <col min="1" max="1" width="4.140625" style="30" customWidth="1"/>
    <col min="2" max="2" width="3.8515625" style="30" customWidth="1"/>
    <col min="3" max="3" width="33.28125" style="30" customWidth="1"/>
    <col min="4" max="4" width="20.140625" style="31" customWidth="1"/>
    <col min="5" max="5" width="5.421875" style="31" customWidth="1"/>
    <col min="6" max="6" width="21.57421875" style="31" customWidth="1"/>
    <col min="7" max="16384" width="9.140625" style="30" customWidth="1"/>
  </cols>
  <sheetData>
    <row r="1" ht="12.75">
      <c r="A1" s="29" t="s">
        <v>71</v>
      </c>
    </row>
    <row r="2" ht="12.75">
      <c r="A2" s="34"/>
    </row>
    <row r="3" ht="12.75">
      <c r="A3" s="35" t="s">
        <v>72</v>
      </c>
    </row>
    <row r="4" ht="12.75">
      <c r="A4" s="36"/>
    </row>
    <row r="5" spans="4:6" ht="12.75">
      <c r="D5" s="37" t="s">
        <v>73</v>
      </c>
      <c r="E5" s="37"/>
      <c r="F5" s="38" t="s">
        <v>74</v>
      </c>
    </row>
    <row r="6" spans="4:6" ht="12.75">
      <c r="D6" s="38" t="s">
        <v>75</v>
      </c>
      <c r="E6" s="38"/>
      <c r="F6" s="38" t="s">
        <v>76</v>
      </c>
    </row>
    <row r="7" spans="4:6" ht="12.75">
      <c r="D7" s="14" t="s">
        <v>17</v>
      </c>
      <c r="E7" s="38"/>
      <c r="F7" s="37" t="s">
        <v>77</v>
      </c>
    </row>
    <row r="8" spans="4:6" ht="12.75">
      <c r="D8" s="38" t="s">
        <v>19</v>
      </c>
      <c r="E8" s="38"/>
      <c r="F8" s="38" t="s">
        <v>19</v>
      </c>
    </row>
    <row r="10" spans="1:6" ht="12.75">
      <c r="A10" s="39" t="s">
        <v>78</v>
      </c>
      <c r="B10" s="30" t="s">
        <v>79</v>
      </c>
      <c r="D10" s="31">
        <f>'[1] BS'!W8</f>
        <v>493724.70305882354</v>
      </c>
      <c r="F10" s="31">
        <v>502033</v>
      </c>
    </row>
    <row r="11" spans="1:6" ht="12.75">
      <c r="A11" s="39" t="s">
        <v>80</v>
      </c>
      <c r="B11" s="30" t="s">
        <v>81</v>
      </c>
      <c r="D11" s="31">
        <f>'[1] BS'!W17</f>
        <v>338383.498</v>
      </c>
      <c r="F11" s="31">
        <f>337480-76</f>
        <v>337404</v>
      </c>
    </row>
    <row r="12" spans="1:6" ht="12.75">
      <c r="A12" s="39" t="s">
        <v>82</v>
      </c>
      <c r="B12" s="30" t="s">
        <v>83</v>
      </c>
      <c r="D12" s="31">
        <v>0</v>
      </c>
      <c r="F12" s="31">
        <v>0</v>
      </c>
    </row>
    <row r="13" spans="1:6" ht="12.75">
      <c r="A13" s="39" t="s">
        <v>84</v>
      </c>
      <c r="B13" s="40" t="s">
        <v>85</v>
      </c>
      <c r="D13" s="31">
        <f>'[1] BS'!W19</f>
        <v>76</v>
      </c>
      <c r="F13" s="31">
        <v>76</v>
      </c>
    </row>
    <row r="14" spans="1:6" ht="12.75">
      <c r="A14" s="39">
        <v>5</v>
      </c>
      <c r="B14" s="40" t="s">
        <v>86</v>
      </c>
      <c r="D14" s="41">
        <v>0</v>
      </c>
      <c r="F14" s="31">
        <v>0</v>
      </c>
    </row>
    <row r="15" spans="1:6" ht="12.75">
      <c r="A15" s="39">
        <v>6</v>
      </c>
      <c r="B15" s="40" t="s">
        <v>87</v>
      </c>
      <c r="D15" s="31">
        <v>0</v>
      </c>
      <c r="F15" s="31">
        <v>0</v>
      </c>
    </row>
    <row r="16" spans="1:6" ht="12.75">
      <c r="A16" s="39">
        <v>7</v>
      </c>
      <c r="B16" s="30" t="s">
        <v>88</v>
      </c>
      <c r="D16" s="31">
        <f>'[1] BS'!W22</f>
        <v>52188</v>
      </c>
      <c r="F16" s="31">
        <v>52814</v>
      </c>
    </row>
    <row r="18" spans="1:2" ht="12.75">
      <c r="A18" s="39">
        <v>8</v>
      </c>
      <c r="B18" s="34" t="s">
        <v>89</v>
      </c>
    </row>
    <row r="19" spans="3:6" ht="12.75">
      <c r="C19" s="30" t="s">
        <v>90</v>
      </c>
      <c r="D19" s="42">
        <f>+'[1] BS'!W43</f>
        <v>77854.88437815126</v>
      </c>
      <c r="F19" s="42">
        <v>88381</v>
      </c>
    </row>
    <row r="20" spans="3:6" ht="12.75">
      <c r="C20" s="30" t="s">
        <v>91</v>
      </c>
      <c r="D20" s="43">
        <f>'[1] BS'!W46+'[1] BS'!W13</f>
        <v>80272.93132773109</v>
      </c>
      <c r="F20" s="43">
        <v>59024</v>
      </c>
    </row>
    <row r="21" spans="3:6" ht="12.75">
      <c r="C21" s="30" t="s">
        <v>92</v>
      </c>
      <c r="D21" s="43">
        <f>'[1] BS'!W53+'[1] BS'!W54+'[1] BS'!W55</f>
        <v>2109.822</v>
      </c>
      <c r="F21" s="43">
        <v>4003</v>
      </c>
    </row>
    <row r="22" spans="3:6" ht="12.75">
      <c r="C22" s="30" t="s">
        <v>93</v>
      </c>
      <c r="D22" s="43">
        <f>'[1] BS'!W56+'[1] BS'!W57</f>
        <v>14989.130512605043</v>
      </c>
      <c r="F22" s="43">
        <v>12591</v>
      </c>
    </row>
    <row r="23" spans="3:6" ht="12.75">
      <c r="C23" s="30" t="s">
        <v>94</v>
      </c>
      <c r="D23" s="43">
        <f>+'[1] BS'!W36</f>
        <v>33305</v>
      </c>
      <c r="F23" s="43">
        <v>33239</v>
      </c>
    </row>
    <row r="24" spans="3:6" ht="12.75">
      <c r="C24" s="40" t="s">
        <v>95</v>
      </c>
      <c r="D24" s="44">
        <f>'[1] BS'!W48+'[1] BS'!W50</f>
        <v>33181.26549579832</v>
      </c>
      <c r="F24" s="44">
        <v>32130</v>
      </c>
    </row>
    <row r="25" spans="4:6" ht="12.75">
      <c r="D25" s="45">
        <f>SUM(D19:D24)</f>
        <v>241713.03371428567</v>
      </c>
      <c r="F25" s="45">
        <f>SUM(F19:F24)</f>
        <v>229368</v>
      </c>
    </row>
    <row r="26" spans="1:2" ht="12.75">
      <c r="A26" s="39">
        <v>9</v>
      </c>
      <c r="B26" s="34" t="s">
        <v>96</v>
      </c>
    </row>
    <row r="27" spans="3:6" ht="12.75">
      <c r="C27" s="30" t="s">
        <v>97</v>
      </c>
      <c r="D27" s="42">
        <f>'[1] BS'!W66</f>
        <v>-81830.00496638655</v>
      </c>
      <c r="F27" s="42">
        <v>-79901</v>
      </c>
    </row>
    <row r="28" spans="3:6" ht="12.75">
      <c r="C28" s="30" t="s">
        <v>98</v>
      </c>
      <c r="D28" s="43">
        <f>'[1] BS'!W68+'[1] BS'!W84+'[1] BS'!W85+'[1] BS'!W70+'[1] BS'!W71</f>
        <v>-436630.11407563026</v>
      </c>
      <c r="F28" s="43">
        <v>-414282</v>
      </c>
    </row>
    <row r="29" spans="3:6" ht="12.75">
      <c r="C29" s="30" t="s">
        <v>99</v>
      </c>
      <c r="D29" s="43">
        <f>'[1] BS'!W83+'[1] BS'!W79</f>
        <v>-644415.7843109245</v>
      </c>
      <c r="F29" s="43">
        <v>-627790</v>
      </c>
    </row>
    <row r="30" spans="3:6" ht="12.75">
      <c r="C30" s="30" t="s">
        <v>100</v>
      </c>
      <c r="D30" s="43">
        <f>+'[1] BS'!W86</f>
        <v>-16531.43193277311</v>
      </c>
      <c r="F30" s="43">
        <v>-15590</v>
      </c>
    </row>
    <row r="31" spans="3:6" ht="12.75" hidden="1">
      <c r="C31" s="30" t="s">
        <v>101</v>
      </c>
      <c r="D31" s="43">
        <v>0</v>
      </c>
      <c r="F31" s="43">
        <v>0</v>
      </c>
    </row>
    <row r="32" spans="3:6" ht="12.75" hidden="1">
      <c r="C32" s="30" t="s">
        <v>102</v>
      </c>
      <c r="D32" s="44">
        <v>0</v>
      </c>
      <c r="F32" s="44">
        <v>0</v>
      </c>
    </row>
    <row r="33" spans="4:6" ht="12.75">
      <c r="D33" s="45">
        <f>SUM(D27:D32)</f>
        <v>-1179407.3352857146</v>
      </c>
      <c r="F33" s="45">
        <f>SUM(F27:F32)</f>
        <v>-1137563</v>
      </c>
    </row>
    <row r="34" spans="4:6" ht="12.75">
      <c r="D34" s="46"/>
      <c r="F34" s="46"/>
    </row>
    <row r="35" spans="1:6" ht="12.75">
      <c r="A35" s="39">
        <v>10</v>
      </c>
      <c r="B35" s="47" t="s">
        <v>103</v>
      </c>
      <c r="D35" s="46">
        <f>+D33+D25</f>
        <v>-937694.3015714289</v>
      </c>
      <c r="F35" s="46">
        <f>+F33+F25</f>
        <v>-908195</v>
      </c>
    </row>
    <row r="36" spans="4:6" ht="13.5" thickBot="1">
      <c r="D36" s="48">
        <f>D10+D11+D13+D16+D35</f>
        <v>-53322.10051260528</v>
      </c>
      <c r="F36" s="48">
        <f>+F35+SUM(F10:F16)</f>
        <v>-15868</v>
      </c>
    </row>
    <row r="37" ht="13.5" thickTop="1"/>
    <row r="39" spans="1:2" ht="12.75">
      <c r="A39" s="39">
        <v>11</v>
      </c>
      <c r="B39" s="34" t="s">
        <v>104</v>
      </c>
    </row>
    <row r="40" spans="2:6" ht="12.75">
      <c r="B40" s="30" t="s">
        <v>105</v>
      </c>
      <c r="D40" s="31">
        <f>-'[1] BS'!$W$91+1</f>
        <v>392683.0730899999</v>
      </c>
      <c r="F40" s="31">
        <v>392683</v>
      </c>
    </row>
    <row r="41" ht="12.75">
      <c r="B41" s="30" t="s">
        <v>106</v>
      </c>
    </row>
    <row r="42" spans="3:6" ht="12.75">
      <c r="C42" s="30" t="s">
        <v>107</v>
      </c>
      <c r="D42" s="31">
        <f>-'[1] BS'!$W$93-1</f>
        <v>134487.604</v>
      </c>
      <c r="F42" s="31">
        <v>134488</v>
      </c>
    </row>
    <row r="43" spans="3:6" ht="12.75">
      <c r="C43" s="30" t="s">
        <v>108</v>
      </c>
      <c r="D43" s="31">
        <f>-'[1] BS'!W94-2</f>
        <v>105036.77419999999</v>
      </c>
      <c r="F43" s="31">
        <v>105037</v>
      </c>
    </row>
    <row r="44" spans="3:6" ht="12.75">
      <c r="C44" s="30" t="s">
        <v>109</v>
      </c>
      <c r="D44" s="31">
        <v>0</v>
      </c>
      <c r="F44" s="31">
        <v>0</v>
      </c>
    </row>
    <row r="45" spans="3:6" ht="12.75">
      <c r="C45" s="30" t="s">
        <v>110</v>
      </c>
      <c r="D45" s="31">
        <v>0</v>
      </c>
      <c r="F45" s="31">
        <v>0</v>
      </c>
    </row>
    <row r="46" spans="3:6" ht="12.75">
      <c r="C46" s="40" t="s">
        <v>111</v>
      </c>
      <c r="D46" s="31">
        <f>-'[1] BS'!W95-'[1] BS'!W97-'[1] BS'!W98+2</f>
        <v>6413.863</v>
      </c>
      <c r="F46" s="31">
        <v>11356</v>
      </c>
    </row>
    <row r="47" spans="3:6" ht="12.75">
      <c r="C47" s="40" t="s">
        <v>112</v>
      </c>
      <c r="D47" s="10">
        <f>F47+'[1]pl'!I61</f>
        <v>-792670.4589045505</v>
      </c>
      <c r="E47" s="30"/>
      <c r="F47" s="10">
        <v>-765589</v>
      </c>
    </row>
    <row r="49" spans="4:6" ht="12.75">
      <c r="D49" s="49">
        <f>SUM(D40:D47)+1</f>
        <v>-154048.14461455063</v>
      </c>
      <c r="F49" s="49">
        <f>SUM(F40:F48)</f>
        <v>-122025</v>
      </c>
    </row>
    <row r="50" spans="1:6" ht="12.75">
      <c r="A50" s="39">
        <v>12</v>
      </c>
      <c r="B50" s="30" t="s">
        <v>113</v>
      </c>
      <c r="D50" s="31">
        <f>-'[1] BS'!W117</f>
        <v>82365.28945672269</v>
      </c>
      <c r="F50" s="31">
        <v>87100</v>
      </c>
    </row>
    <row r="51" spans="1:6" ht="12.75">
      <c r="A51" s="39">
        <v>13</v>
      </c>
      <c r="B51" s="30" t="s">
        <v>114</v>
      </c>
      <c r="D51" s="31">
        <v>0</v>
      </c>
      <c r="F51" s="31">
        <v>0</v>
      </c>
    </row>
    <row r="52" spans="1:6" ht="12.75">
      <c r="A52" s="39">
        <v>14</v>
      </c>
      <c r="B52" s="30" t="s">
        <v>115</v>
      </c>
      <c r="D52" s="31">
        <f>-'[1] BS'!W104-'[1] BS'!W112-2</f>
        <v>5044.218487394959</v>
      </c>
      <c r="F52" s="31">
        <v>5740</v>
      </c>
    </row>
    <row r="53" spans="1:6" ht="12.75">
      <c r="A53" s="39">
        <v>15</v>
      </c>
      <c r="B53" s="40" t="s">
        <v>116</v>
      </c>
      <c r="D53" s="31">
        <f>-'[1] BS'!W116</f>
        <v>13317</v>
      </c>
      <c r="F53" s="31">
        <v>13317</v>
      </c>
    </row>
    <row r="54" spans="4:6" ht="13.5" thickBot="1">
      <c r="D54" s="48">
        <f>SUM(D49:D53)</f>
        <v>-53321.636670432985</v>
      </c>
      <c r="F54" s="48">
        <f>SUM(F49:F53)</f>
        <v>-15868</v>
      </c>
    </row>
    <row r="55" ht="13.5" thickTop="1"/>
    <row r="56" spans="1:6" ht="12.75">
      <c r="A56" s="39">
        <v>16</v>
      </c>
      <c r="B56" s="30" t="s">
        <v>117</v>
      </c>
      <c r="D56" s="50">
        <f>+D49/D40</f>
        <v>-0.39229637122464917</v>
      </c>
      <c r="E56" s="51"/>
      <c r="F56" s="52">
        <f>+F49/F40</f>
        <v>-0.3107468365068006</v>
      </c>
    </row>
    <row r="57" spans="1:6" ht="12.75">
      <c r="A57" s="39"/>
      <c r="D57" s="50"/>
      <c r="E57" s="51"/>
      <c r="F57" s="52"/>
    </row>
  </sheetData>
  <printOptions/>
  <pageMargins left="0.75" right="0.75" top="1" bottom="1" header="0.5" footer="0.5"/>
  <pageSetup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tabSelected="1" workbookViewId="0" topLeftCell="A132">
      <selection activeCell="A1" sqref="A1:I145"/>
    </sheetView>
  </sheetViews>
  <sheetFormatPr defaultColWidth="9.140625" defaultRowHeight="12.75"/>
  <cols>
    <col min="1" max="1" width="4.28125" style="30" customWidth="1"/>
    <col min="2" max="2" width="2.8515625" style="30" customWidth="1"/>
    <col min="3" max="3" width="19.8515625" style="30" customWidth="1"/>
    <col min="4" max="5" width="12.28125" style="30" customWidth="1"/>
    <col min="6" max="6" width="13.421875" style="30" customWidth="1"/>
    <col min="7" max="7" width="12.28125" style="30" customWidth="1"/>
    <col min="8" max="8" width="13.28125" style="30" customWidth="1"/>
    <col min="9" max="9" width="7.7109375" style="30" customWidth="1"/>
    <col min="10" max="10" width="9.140625" style="30" customWidth="1"/>
    <col min="11" max="11" width="9.7109375" style="30" customWidth="1"/>
    <col min="12" max="12" width="8.7109375" style="30" customWidth="1"/>
    <col min="13" max="16384" width="9.140625" style="30" customWidth="1"/>
  </cols>
  <sheetData>
    <row r="1" ht="12.75">
      <c r="A1" s="29" t="s">
        <v>71</v>
      </c>
    </row>
    <row r="2" ht="12.75">
      <c r="A2" s="53" t="s">
        <v>118</v>
      </c>
    </row>
    <row r="4" spans="1:2" ht="12.75">
      <c r="A4" s="39" t="s">
        <v>78</v>
      </c>
      <c r="B4" s="36" t="s">
        <v>119</v>
      </c>
    </row>
    <row r="5" ht="12.75">
      <c r="B5" s="30" t="s">
        <v>120</v>
      </c>
    </row>
    <row r="6" ht="12.75">
      <c r="B6" s="40" t="s">
        <v>121</v>
      </c>
    </row>
    <row r="8" spans="1:2" ht="12.75">
      <c r="A8" s="39" t="s">
        <v>80</v>
      </c>
      <c r="B8" s="36" t="s">
        <v>122</v>
      </c>
    </row>
    <row r="9" spans="1:2" ht="12.75">
      <c r="A9" s="39"/>
      <c r="B9" s="40" t="s">
        <v>123</v>
      </c>
    </row>
    <row r="10" spans="1:2" ht="12.75">
      <c r="A10" s="39"/>
      <c r="B10" s="40" t="s">
        <v>124</v>
      </c>
    </row>
    <row r="11" spans="1:2" ht="12.75">
      <c r="A11" s="39"/>
      <c r="B11" s="39"/>
    </row>
    <row r="12" spans="1:2" ht="12.75">
      <c r="A12" s="39" t="s">
        <v>82</v>
      </c>
      <c r="B12" s="36" t="s">
        <v>125</v>
      </c>
    </row>
    <row r="13" spans="1:2" ht="12.75">
      <c r="A13" s="39"/>
      <c r="B13" s="39" t="s">
        <v>126</v>
      </c>
    </row>
    <row r="15" spans="1:2" ht="12.75">
      <c r="A15" s="39" t="s">
        <v>84</v>
      </c>
      <c r="B15" s="36" t="s">
        <v>45</v>
      </c>
    </row>
    <row r="16" spans="1:2" ht="12.75">
      <c r="A16" s="39"/>
      <c r="B16" s="40" t="s">
        <v>127</v>
      </c>
    </row>
    <row r="17" ht="12.75">
      <c r="B17" s="30" t="s">
        <v>128</v>
      </c>
    </row>
    <row r="18" ht="12.75">
      <c r="B18" s="30" t="s">
        <v>129</v>
      </c>
    </row>
    <row r="20" spans="1:2" ht="12.75">
      <c r="A20" s="39">
        <v>5</v>
      </c>
      <c r="B20" s="36" t="s">
        <v>130</v>
      </c>
    </row>
    <row r="21" spans="1:2" ht="12.75">
      <c r="A21" s="39"/>
      <c r="B21" s="39" t="s">
        <v>131</v>
      </c>
    </row>
    <row r="23" spans="1:2" ht="12.75">
      <c r="A23" s="39">
        <v>6</v>
      </c>
      <c r="B23" s="36" t="s">
        <v>132</v>
      </c>
    </row>
    <row r="24" spans="1:2" ht="12.75">
      <c r="A24" s="39"/>
      <c r="B24" s="39" t="s">
        <v>133</v>
      </c>
    </row>
    <row r="25" spans="1:8" ht="12.75">
      <c r="A25" s="39"/>
      <c r="F25" s="54"/>
      <c r="G25"/>
      <c r="H25"/>
    </row>
    <row r="26" spans="1:8" ht="12.75">
      <c r="A26" s="39"/>
      <c r="F26" s="1" t="s">
        <v>134</v>
      </c>
      <c r="G26"/>
      <c r="H26"/>
    </row>
    <row r="27" spans="1:8" ht="12.75">
      <c r="A27" s="39"/>
      <c r="B27" s="39"/>
      <c r="E27" s="55" t="s">
        <v>135</v>
      </c>
      <c r="F27" s="55" t="s">
        <v>136</v>
      </c>
      <c r="G27"/>
      <c r="H27"/>
    </row>
    <row r="28" spans="1:8" ht="12.75">
      <c r="A28" s="39"/>
      <c r="B28" s="39"/>
      <c r="E28" s="33" t="s">
        <v>19</v>
      </c>
      <c r="F28" s="33" t="s">
        <v>19</v>
      </c>
      <c r="G28"/>
      <c r="H28"/>
    </row>
    <row r="29" spans="1:8" ht="12.75">
      <c r="A29" s="39"/>
      <c r="B29" s="39" t="s">
        <v>21</v>
      </c>
      <c r="C29" s="30" t="s">
        <v>137</v>
      </c>
      <c r="G29"/>
      <c r="H29"/>
    </row>
    <row r="30" spans="1:8" ht="12.75">
      <c r="A30" s="39"/>
      <c r="B30" s="39"/>
      <c r="E30" s="54"/>
      <c r="F30" s="54"/>
      <c r="G30"/>
      <c r="H30"/>
    </row>
    <row r="31" spans="1:8" ht="12.75">
      <c r="A31" s="39"/>
      <c r="B31"/>
      <c r="C31" s="30" t="s">
        <v>138</v>
      </c>
      <c r="E31" s="56">
        <v>0</v>
      </c>
      <c r="F31" s="57">
        <v>0</v>
      </c>
      <c r="G31"/>
      <c r="H31"/>
    </row>
    <row r="32" spans="1:8" ht="12.75">
      <c r="A32" s="39"/>
      <c r="C32" s="30" t="s">
        <v>139</v>
      </c>
      <c r="E32" s="32">
        <v>0</v>
      </c>
      <c r="F32" s="32">
        <f>2530/1000</f>
        <v>2.53</v>
      </c>
      <c r="G32"/>
      <c r="H32"/>
    </row>
    <row r="33" spans="1:8" ht="12.75">
      <c r="A33" s="39"/>
      <c r="C33" s="39" t="s">
        <v>140</v>
      </c>
      <c r="E33" s="32">
        <v>0</v>
      </c>
      <c r="F33" s="28">
        <f>(2530-1551)/1000</f>
        <v>0.979</v>
      </c>
      <c r="G33"/>
      <c r="H33"/>
    </row>
    <row r="34" spans="1:8" ht="12.75">
      <c r="A34" s="39"/>
      <c r="F34" s="54"/>
      <c r="G34"/>
      <c r="H34"/>
    </row>
    <row r="35" spans="1:8" ht="12.75">
      <c r="A35" s="39"/>
      <c r="B35" s="39" t="s">
        <v>23</v>
      </c>
      <c r="C35" s="39" t="s">
        <v>141</v>
      </c>
      <c r="F35" s="54"/>
      <c r="G35"/>
      <c r="H35"/>
    </row>
    <row r="36" spans="1:8" ht="12.75">
      <c r="A36" s="39"/>
      <c r="B36" s="39"/>
      <c r="F36" s="54"/>
      <c r="G36"/>
      <c r="H36"/>
    </row>
    <row r="37" spans="1:8" ht="12.75">
      <c r="A37" s="39"/>
      <c r="B37"/>
      <c r="C37" s="30" t="s">
        <v>142</v>
      </c>
      <c r="F37" s="58">
        <v>0</v>
      </c>
      <c r="G37"/>
      <c r="H37"/>
    </row>
    <row r="38" spans="1:8" ht="12.75">
      <c r="A38" s="39"/>
      <c r="C38" s="30" t="s">
        <v>143</v>
      </c>
      <c r="F38" s="58"/>
      <c r="G38"/>
      <c r="H38"/>
    </row>
    <row r="39" spans="1:8" ht="12.75">
      <c r="A39" s="39"/>
      <c r="C39" s="39" t="s">
        <v>144</v>
      </c>
      <c r="F39" s="58">
        <v>0</v>
      </c>
      <c r="G39"/>
      <c r="H39"/>
    </row>
    <row r="40" spans="1:8" ht="12.75">
      <c r="A40" s="39"/>
      <c r="C40" s="30" t="s">
        <v>145</v>
      </c>
      <c r="F40" s="58"/>
      <c r="G40"/>
      <c r="H40"/>
    </row>
    <row r="41" spans="3:8" ht="12.75">
      <c r="C41" s="39" t="s">
        <v>146</v>
      </c>
      <c r="F41" s="58">
        <v>0</v>
      </c>
      <c r="G41"/>
      <c r="H41"/>
    </row>
    <row r="43" spans="1:2" ht="12.75">
      <c r="A43" s="39">
        <v>7</v>
      </c>
      <c r="B43" s="59" t="s">
        <v>147</v>
      </c>
    </row>
    <row r="44" spans="1:2" ht="12.75">
      <c r="A44" s="39"/>
      <c r="B44" s="39" t="s">
        <v>148</v>
      </c>
    </row>
    <row r="46" spans="1:2" ht="12.75">
      <c r="A46" s="39">
        <v>8</v>
      </c>
      <c r="B46" s="36" t="s">
        <v>149</v>
      </c>
    </row>
    <row r="47" spans="1:2" ht="12.75">
      <c r="A47" s="39"/>
      <c r="B47" s="40" t="s">
        <v>150</v>
      </c>
    </row>
    <row r="48" spans="1:2" ht="12.75">
      <c r="A48" s="39"/>
      <c r="B48" s="40" t="s">
        <v>151</v>
      </c>
    </row>
    <row r="49" spans="1:3" ht="12.75">
      <c r="A49" s="39"/>
      <c r="B49" s="40" t="s">
        <v>152</v>
      </c>
      <c r="C49" s="39"/>
    </row>
    <row r="50" spans="1:3" ht="12.75">
      <c r="A50" s="39"/>
      <c r="B50" s="40" t="s">
        <v>153</v>
      </c>
      <c r="C50" s="39"/>
    </row>
    <row r="51" spans="1:2" ht="12.75">
      <c r="A51" s="39"/>
      <c r="B51" s="40" t="s">
        <v>154</v>
      </c>
    </row>
    <row r="52" spans="1:2" ht="12.75">
      <c r="A52" s="39"/>
      <c r="B52" s="39"/>
    </row>
    <row r="53" spans="1:2" ht="12.75">
      <c r="A53" s="39">
        <v>9</v>
      </c>
      <c r="B53" s="36" t="s">
        <v>155</v>
      </c>
    </row>
    <row r="54" spans="1:2" ht="12.75">
      <c r="A54" s="39"/>
      <c r="B54" s="39" t="s">
        <v>156</v>
      </c>
    </row>
    <row r="55" spans="1:2" ht="12.75">
      <c r="A55" s="39"/>
      <c r="B55" s="40" t="s">
        <v>157</v>
      </c>
    </row>
    <row r="56" spans="1:2" ht="12.75">
      <c r="A56" s="39"/>
      <c r="B56"/>
    </row>
    <row r="57" spans="1:2" ht="12.75">
      <c r="A57" s="39">
        <v>10</v>
      </c>
      <c r="B57" s="36" t="s">
        <v>158</v>
      </c>
    </row>
    <row r="58" spans="1:2" ht="12.75">
      <c r="A58" s="39"/>
      <c r="B58" s="39" t="s">
        <v>159</v>
      </c>
    </row>
    <row r="60" spans="5:6" ht="12.75">
      <c r="E60"/>
      <c r="F60" s="33" t="s">
        <v>19</v>
      </c>
    </row>
    <row r="61" spans="2:6" ht="12.75">
      <c r="B61" s="60" t="s">
        <v>160</v>
      </c>
      <c r="E61"/>
      <c r="F61"/>
    </row>
    <row r="62" spans="2:7" ht="12.75">
      <c r="B62" s="61"/>
      <c r="E62"/>
      <c r="G62"/>
    </row>
    <row r="63" spans="1:6" ht="12.75">
      <c r="A63" s="30" t="s">
        <v>161</v>
      </c>
      <c r="B63" s="39" t="s">
        <v>162</v>
      </c>
      <c r="E63"/>
      <c r="F63" s="62">
        <f>-'[1] BS'!W79</f>
        <v>612293.0213109244</v>
      </c>
    </row>
    <row r="64" spans="5:6" ht="12.75">
      <c r="E64"/>
      <c r="F64" s="54"/>
    </row>
    <row r="65" spans="2:6" ht="12.75">
      <c r="B65" s="39" t="s">
        <v>163</v>
      </c>
      <c r="E65"/>
      <c r="F65" s="2">
        <f>-'[1] BS'!W83</f>
        <v>32122.763</v>
      </c>
    </row>
    <row r="66" spans="5:6" ht="13.5" thickBot="1">
      <c r="E66"/>
      <c r="F66" s="63">
        <f>SUM(F63:F65)</f>
        <v>644415.7843109245</v>
      </c>
    </row>
    <row r="67" ht="13.5" thickTop="1">
      <c r="B67" s="39" t="s">
        <v>164</v>
      </c>
    </row>
    <row r="69" spans="1:2" ht="12.75">
      <c r="A69" s="30" t="s">
        <v>161</v>
      </c>
      <c r="B69" s="39" t="s">
        <v>165</v>
      </c>
    </row>
    <row r="72" spans="1:2" ht="12.75">
      <c r="A72" s="39">
        <v>11</v>
      </c>
      <c r="B72" s="36" t="s">
        <v>166</v>
      </c>
    </row>
    <row r="73" spans="1:2" ht="12.75">
      <c r="A73" s="39"/>
      <c r="B73" s="39" t="s">
        <v>167</v>
      </c>
    </row>
    <row r="74" spans="1:2" ht="12.75">
      <c r="A74" s="39"/>
      <c r="B74" s="40" t="s">
        <v>168</v>
      </c>
    </row>
    <row r="75" spans="1:2" ht="12.75">
      <c r="A75" s="39"/>
      <c r="B75" s="40"/>
    </row>
    <row r="76" spans="1:2" ht="12.75">
      <c r="A76" s="39">
        <v>12</v>
      </c>
      <c r="B76" s="36" t="s">
        <v>169</v>
      </c>
    </row>
    <row r="77" spans="1:2" ht="12.75">
      <c r="A77" s="39"/>
      <c r="B77" s="39" t="s">
        <v>170</v>
      </c>
    </row>
    <row r="79" spans="1:2" ht="12.75">
      <c r="A79" s="39">
        <v>13</v>
      </c>
      <c r="B79" s="36" t="s">
        <v>171</v>
      </c>
    </row>
    <row r="80" spans="1:2" ht="12.75">
      <c r="A80" s="39"/>
      <c r="B80" s="39" t="s">
        <v>215</v>
      </c>
    </row>
    <row r="82" spans="1:2" ht="12.75">
      <c r="A82" s="39">
        <v>14</v>
      </c>
      <c r="B82" s="35" t="s">
        <v>172</v>
      </c>
    </row>
    <row r="83" spans="1:2" ht="12.75">
      <c r="A83" s="39"/>
      <c r="B83" s="39" t="s">
        <v>173</v>
      </c>
    </row>
    <row r="85" spans="1:7" ht="12.75">
      <c r="A85" s="61"/>
      <c r="B85" s="61"/>
      <c r="C85" s="61"/>
      <c r="D85" s="64"/>
      <c r="E85" s="65" t="s">
        <v>174</v>
      </c>
      <c r="F85" s="64" t="s">
        <v>175</v>
      </c>
      <c r="G85"/>
    </row>
    <row r="86" spans="1:7" ht="12.75">
      <c r="A86" s="61"/>
      <c r="B86" s="61"/>
      <c r="C86" s="61"/>
      <c r="D86" s="64" t="s">
        <v>22</v>
      </c>
      <c r="E86" s="64" t="s">
        <v>176</v>
      </c>
      <c r="F86" s="64" t="s">
        <v>177</v>
      </c>
      <c r="G86"/>
    </row>
    <row r="87" spans="1:7" ht="15">
      <c r="A87" s="39" t="s">
        <v>21</v>
      </c>
      <c r="B87" s="66" t="s">
        <v>178</v>
      </c>
      <c r="C87" s="61"/>
      <c r="D87" s="67" t="s">
        <v>19</v>
      </c>
      <c r="E87" s="67" t="s">
        <v>19</v>
      </c>
      <c r="F87" s="67" t="s">
        <v>19</v>
      </c>
      <c r="G87"/>
    </row>
    <row r="88" ht="12.75">
      <c r="G88"/>
    </row>
    <row r="89" spans="2:7" ht="12.75">
      <c r="B89" s="30" t="s">
        <v>179</v>
      </c>
      <c r="D89" s="10">
        <f>+ROUND('[1]sgmt'!C14/1000,0)</f>
        <v>13390</v>
      </c>
      <c r="E89" s="10">
        <f>+ROUND('[1]sgmt'!D12/1000,0)</f>
        <v>2322</v>
      </c>
      <c r="F89" s="10">
        <f>+ROUND('[1]sgmt'!E14/1000,0)</f>
        <v>118473</v>
      </c>
      <c r="G89"/>
    </row>
    <row r="90" spans="4:7" ht="12.75">
      <c r="D90" s="10"/>
      <c r="E90" s="10"/>
      <c r="F90" s="10"/>
      <c r="G90"/>
    </row>
    <row r="91" spans="2:7" ht="12.75">
      <c r="B91" s="30" t="s">
        <v>180</v>
      </c>
      <c r="D91" s="10">
        <f>+ROUND('[1]sgmt'!C21/1000,0)</f>
        <v>11215</v>
      </c>
      <c r="E91" s="10">
        <f>+ROUND('[1]sgmt'!D19/1000,0)</f>
        <v>3623</v>
      </c>
      <c r="F91" s="10">
        <f>+ROUND('[1]sgmt'!E21/1000,0)</f>
        <v>311106</v>
      </c>
      <c r="G91"/>
    </row>
    <row r="92" spans="4:7" ht="12.75">
      <c r="D92" s="10"/>
      <c r="E92" s="10"/>
      <c r="F92" s="10"/>
      <c r="G92"/>
    </row>
    <row r="93" spans="2:7" ht="12.75">
      <c r="B93" s="30" t="s">
        <v>181</v>
      </c>
      <c r="D93" s="10">
        <f>+ROUND('[1]sgmt'!C25/1000,0)</f>
        <v>97037</v>
      </c>
      <c r="E93" s="10">
        <f>+ROUND('[1]sgmt'!D25/1000,0)</f>
        <v>1256</v>
      </c>
      <c r="F93" s="10">
        <f>+ROUND('[1]sgmt'!E25/1000,0)</f>
        <v>153423</v>
      </c>
      <c r="G93"/>
    </row>
    <row r="94" spans="4:7" ht="12.75">
      <c r="D94" s="10"/>
      <c r="E94" s="10"/>
      <c r="F94" s="10"/>
      <c r="G94"/>
    </row>
    <row r="95" spans="2:7" ht="12.75">
      <c r="B95" s="39" t="s">
        <v>182</v>
      </c>
      <c r="D95" s="10">
        <f>+ROUND('[1]sgmt'!C33/1000,0)</f>
        <v>26372</v>
      </c>
      <c r="E95" s="10">
        <f>+ROUND('[1]sgmt'!D33/1000,0)</f>
        <v>-12174</v>
      </c>
      <c r="F95" s="10">
        <f>+ROUND('[1]sgmt'!E33/1000,0)</f>
        <v>175479</v>
      </c>
      <c r="G95"/>
    </row>
    <row r="96" spans="4:7" ht="12.75">
      <c r="D96" s="10"/>
      <c r="E96" s="10"/>
      <c r="F96" s="10"/>
      <c r="G96"/>
    </row>
    <row r="97" spans="2:7" ht="12.75">
      <c r="B97" s="30" t="s">
        <v>183</v>
      </c>
      <c r="D97" s="10"/>
      <c r="E97" s="10"/>
      <c r="F97" s="10"/>
      <c r="G97"/>
    </row>
    <row r="98" spans="3:7" ht="12.75">
      <c r="C98" s="30" t="s">
        <v>184</v>
      </c>
      <c r="D98" s="10">
        <f>'[1]sgmt'!C50/1000</f>
        <v>595.92</v>
      </c>
      <c r="E98" s="10">
        <f>'[1]sgmt'!D50/1000+1</f>
        <v>-23406.930352148407</v>
      </c>
      <c r="F98" s="10">
        <f>'[1]sgmt'!E50/1000</f>
        <v>367603.73182352935</v>
      </c>
      <c r="G98"/>
    </row>
    <row r="99" spans="4:7" ht="12.75">
      <c r="D99" s="10"/>
      <c r="E99" s="10"/>
      <c r="F99" s="10"/>
      <c r="G99"/>
    </row>
    <row r="100" spans="4:7" ht="13.5" thickBot="1">
      <c r="D100" s="68">
        <f>SUM(D89:D98)</f>
        <v>148609.92</v>
      </c>
      <c r="E100" s="68">
        <f>SUM(E89:E98)</f>
        <v>-28379.930352148407</v>
      </c>
      <c r="F100" s="68">
        <f>SUM(F89:F98)</f>
        <v>1126084.7318235293</v>
      </c>
      <c r="G100"/>
    </row>
    <row r="101" spans="4:7" ht="13.5" thickTop="1">
      <c r="D101" s="16"/>
      <c r="E101" s="16"/>
      <c r="F101" s="16"/>
      <c r="G101"/>
    </row>
    <row r="102" spans="1:7" ht="12.75">
      <c r="A102" s="39" t="s">
        <v>23</v>
      </c>
      <c r="B102" s="69" t="s">
        <v>185</v>
      </c>
      <c r="D102" s="16"/>
      <c r="E102" s="16"/>
      <c r="F102" s="16"/>
      <c r="G102" s="16"/>
    </row>
    <row r="103" spans="3:7" ht="12.75">
      <c r="C103" s="66" t="s">
        <v>186</v>
      </c>
      <c r="D103" s="16"/>
      <c r="E103" s="16"/>
      <c r="F103" s="16"/>
      <c r="G103" s="16"/>
    </row>
    <row r="104" spans="4:7" ht="12.75">
      <c r="D104" s="16"/>
      <c r="E104" s="16"/>
      <c r="F104" s="16"/>
      <c r="G104" s="16"/>
    </row>
    <row r="105" spans="2:7" ht="12.75">
      <c r="B105" s="30" t="s">
        <v>187</v>
      </c>
      <c r="D105" s="16">
        <f>'[1]sgmt'!C60/1000</f>
        <v>50450.772</v>
      </c>
      <c r="E105" s="16">
        <f>'[1]sgmt'!D60/1000+1</f>
        <v>-28659.928000000004</v>
      </c>
      <c r="F105" s="16">
        <f>'[1]sgmt'!E60/1000-1</f>
        <v>964130.653</v>
      </c>
      <c r="G105"/>
    </row>
    <row r="106" spans="2:7" ht="12.75">
      <c r="B106" s="30" t="s">
        <v>188</v>
      </c>
      <c r="D106" s="16">
        <f>+'[1]sgmt'!C62/1000</f>
        <v>98159.23450531154</v>
      </c>
      <c r="E106" s="16">
        <f>+'[1]sgmt'!D62/1000</f>
        <v>279.775527192009</v>
      </c>
      <c r="F106" s="16">
        <f>+ROUND(('[1]sgmt'!E25+'[1]sgmt'!E32+'[1]sgmt'!E47)/1000,0)</f>
        <v>161954</v>
      </c>
      <c r="G106"/>
    </row>
    <row r="107" spans="4:7" ht="13.5" thickBot="1">
      <c r="D107" s="68">
        <f>SUM(D105:D106)</f>
        <v>148610.00650531152</v>
      </c>
      <c r="E107" s="68">
        <f>SUM(E105:E106)</f>
        <v>-28380.152472807993</v>
      </c>
      <c r="F107" s="68">
        <f>SUM(F105:F106)</f>
        <v>1126084.653</v>
      </c>
      <c r="G107"/>
    </row>
    <row r="108" ht="13.5" thickTop="1"/>
    <row r="109" spans="1:2" ht="12.75">
      <c r="A109" s="39">
        <v>15</v>
      </c>
      <c r="B109" s="36" t="s">
        <v>189</v>
      </c>
    </row>
    <row r="110" spans="1:2" ht="12.75">
      <c r="A110" s="39"/>
      <c r="B110" s="30" t="s">
        <v>190</v>
      </c>
    </row>
    <row r="111" spans="1:2" ht="12.75">
      <c r="A111" s="39"/>
      <c r="B111" s="70"/>
    </row>
    <row r="112" spans="1:2" ht="12.75">
      <c r="A112" s="39">
        <v>16</v>
      </c>
      <c r="B112" s="35" t="s">
        <v>191</v>
      </c>
    </row>
    <row r="113" ht="12.75">
      <c r="B113" s="40" t="s">
        <v>216</v>
      </c>
    </row>
    <row r="114" ht="12.75">
      <c r="B114" s="40" t="s">
        <v>192</v>
      </c>
    </row>
    <row r="115" ht="12.75">
      <c r="B115" s="40"/>
    </row>
    <row r="116" ht="12.75">
      <c r="B116" s="70" t="s">
        <v>193</v>
      </c>
    </row>
    <row r="117" ht="12.75">
      <c r="B117" s="70" t="s">
        <v>194</v>
      </c>
    </row>
    <row r="118" ht="12.75">
      <c r="B118" s="70" t="s">
        <v>195</v>
      </c>
    </row>
    <row r="119" ht="12.75">
      <c r="B119" s="70"/>
    </row>
    <row r="120" spans="1:2" ht="12.75">
      <c r="A120" s="40">
        <v>17</v>
      </c>
      <c r="B120" s="47" t="s">
        <v>196</v>
      </c>
    </row>
    <row r="121" ht="12.75">
      <c r="B121" s="40" t="s">
        <v>197</v>
      </c>
    </row>
    <row r="122" ht="12.75">
      <c r="B122" s="40"/>
    </row>
    <row r="123" spans="1:2" ht="12.75">
      <c r="A123" s="40">
        <v>18</v>
      </c>
      <c r="B123" s="36" t="s">
        <v>198</v>
      </c>
    </row>
    <row r="124" ht="12.75">
      <c r="B124" s="39" t="s">
        <v>199</v>
      </c>
    </row>
    <row r="125" ht="12.75">
      <c r="B125" s="40"/>
    </row>
    <row r="126" spans="1:2" ht="12.75">
      <c r="A126" s="39" t="s">
        <v>200</v>
      </c>
      <c r="B126" s="35" t="s">
        <v>201</v>
      </c>
    </row>
    <row r="127" spans="1:2" ht="12.75">
      <c r="A127" s="39"/>
      <c r="B127" s="70" t="s">
        <v>202</v>
      </c>
    </row>
    <row r="128" spans="1:3" ht="12.75">
      <c r="A128" s="39"/>
      <c r="B128" s="70" t="s">
        <v>203</v>
      </c>
      <c r="C128"/>
    </row>
    <row r="129" spans="1:3" ht="12.75">
      <c r="A129" s="39"/>
      <c r="B129" s="70"/>
      <c r="C129"/>
    </row>
    <row r="130" spans="1:3" ht="12.75">
      <c r="A130" s="39" t="s">
        <v>204</v>
      </c>
      <c r="B130" s="35" t="s">
        <v>205</v>
      </c>
      <c r="C130"/>
    </row>
    <row r="131" spans="2:3" ht="12.75">
      <c r="B131" s="40" t="s">
        <v>206</v>
      </c>
      <c r="C131"/>
    </row>
    <row r="132" spans="2:3" ht="12.75">
      <c r="B132" s="39"/>
      <c r="C132"/>
    </row>
    <row r="133" spans="1:2" ht="12.75">
      <c r="A133" s="39" t="s">
        <v>207</v>
      </c>
      <c r="B133" s="36" t="s">
        <v>208</v>
      </c>
    </row>
    <row r="134" ht="12.75">
      <c r="B134" s="39" t="s">
        <v>209</v>
      </c>
    </row>
    <row r="137" ht="12.75">
      <c r="A137" s="71" t="s">
        <v>210</v>
      </c>
    </row>
    <row r="138" ht="12.75">
      <c r="A138" s="72" t="s">
        <v>0</v>
      </c>
    </row>
    <row r="139" ht="12.75">
      <c r="A139" s="71"/>
    </row>
    <row r="140" ht="12.75">
      <c r="A140" s="71"/>
    </row>
    <row r="141" ht="12.75">
      <c r="A141" s="73" t="s">
        <v>211</v>
      </c>
    </row>
    <row r="142" ht="12.75">
      <c r="A142" s="74" t="s">
        <v>212</v>
      </c>
    </row>
    <row r="143" ht="12.75">
      <c r="A143" s="71"/>
    </row>
    <row r="144" ht="12.75">
      <c r="A144" s="73" t="s">
        <v>213</v>
      </c>
    </row>
    <row r="145" ht="12.75">
      <c r="A145" s="75" t="s">
        <v>214</v>
      </c>
    </row>
  </sheetData>
  <printOptions/>
  <pageMargins left="0.75" right="0.75" top="1" bottom="1" header="0.5" footer="0.5"/>
  <pageSetup fitToHeight="3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 Industries Berhad</dc:creator>
  <cp:keywords/>
  <dc:description/>
  <cp:lastModifiedBy>Mycom Berhad</cp:lastModifiedBy>
  <cp:lastPrinted>2002-02-27T09:53:37Z</cp:lastPrinted>
  <dcterms:created xsi:type="dcterms:W3CDTF">2002-02-27T08:14:59Z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