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3"/>
  </bookViews>
  <sheets>
    <sheet name="P&amp;L" sheetId="1" r:id="rId1"/>
    <sheet name="B_Sheet" sheetId="2" r:id="rId2"/>
    <sheet name="Chg in equity" sheetId="3" r:id="rId3"/>
    <sheet name="cf" sheetId="4" r:id="rId4"/>
  </sheets>
  <externalReferences>
    <externalReference r:id="rId7"/>
    <externalReference r:id="rId8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<sst xmlns="http://schemas.openxmlformats.org/spreadsheetml/2006/main" count="168" uniqueCount="139">
  <si>
    <t>EUROPLUS BERHAD (520-h)</t>
  </si>
  <si>
    <t>Condensed Consolidated Income Statements</t>
  </si>
  <si>
    <t>Current Quarter</t>
  </si>
  <si>
    <t>Revenue</t>
  </si>
  <si>
    <t>Cumulative to-date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</si>
  <si>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</si>
  <si>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</si>
  <si>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</si>
  <si>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</si>
  <si>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</si>
  <si>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</si>
  <si>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</si>
  <si>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</si>
  <si>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</si>
  <si>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</si>
  <si>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AS AT PRECEDING</t>
  </si>
  <si>
    <t xml:space="preserve">FINANCIAL </t>
  </si>
  <si>
    <t>YEAR ENDED</t>
  </si>
  <si>
    <t>RM '000</t>
  </si>
  <si>
    <t>PROPERTY, PLANT AND EQUIPMENT</t>
  </si>
  <si>
    <t>PROPERTY DEVELOPMENT PROJECTS - non-current portion</t>
  </si>
  <si>
    <t>INVESTMENT IN ASSOCIATED COMPANIES</t>
  </si>
  <si>
    <t>CURRENT ASSETS</t>
  </si>
  <si>
    <t>Property development projects - current portion</t>
  </si>
  <si>
    <t>Inventories</t>
  </si>
  <si>
    <t>Total Current Assets</t>
  </si>
  <si>
    <t>CURRENT LIABILITIES</t>
  </si>
  <si>
    <t>Total Current Liabilities</t>
  </si>
  <si>
    <t>NET CURRENT ASSET</t>
  </si>
  <si>
    <t>NET ASSETS</t>
  </si>
  <si>
    <t xml:space="preserve">Represented By : </t>
  </si>
  <si>
    <t>SHARE CAPITAL</t>
  </si>
  <si>
    <t>TOTAL SHAREHOLDERS' FUNDS</t>
  </si>
  <si>
    <t>TOTAL CAPITAL EMPLOYED</t>
  </si>
  <si>
    <t>NET TANGIBLE ASSETS PER SHARE (RM)</t>
  </si>
  <si>
    <t>Condensed Consolidated Balance Sheets</t>
  </si>
  <si>
    <t>Cash &amp; Cash Equivalents</t>
  </si>
  <si>
    <t>Overdraft &amp; Short Term Borrowings</t>
  </si>
  <si>
    <t>RESERVES</t>
  </si>
  <si>
    <t>MINORITY INTEREST</t>
  </si>
  <si>
    <t>LONG TERMS LIABILITIES</t>
  </si>
  <si>
    <t>Other deferred liabilities</t>
  </si>
  <si>
    <t>Borrowings</t>
  </si>
  <si>
    <t>Condensed Consolidated Statements of Changes in Equity</t>
  </si>
  <si>
    <t>Share</t>
  </si>
  <si>
    <t>Capital</t>
  </si>
  <si>
    <t>(RM)</t>
  </si>
  <si>
    <t>Reserve Attributable</t>
  </si>
  <si>
    <t>To Capital</t>
  </si>
  <si>
    <t>To Revenue</t>
  </si>
  <si>
    <t>Retained</t>
  </si>
  <si>
    <t>Profits</t>
  </si>
  <si>
    <t>Total</t>
  </si>
  <si>
    <t>Balance at beginning of year</t>
  </si>
  <si>
    <t>RM'000</t>
  </si>
  <si>
    <t xml:space="preserve">The Condensed Consolidated Income Statement should be read in conjunction with </t>
  </si>
  <si>
    <t xml:space="preserve">                                The Condensed Consolidated Balance Sheet should be read in conjunction with </t>
  </si>
  <si>
    <t xml:space="preserve">The Condensed Consolidated Statement of Changes In Equity should be read in conjunction with </t>
  </si>
  <si>
    <t>Less: Interim Dividend (2% less 28% income tax)</t>
  </si>
  <si>
    <t>Interest income</t>
  </si>
  <si>
    <t>EUROPLUS BERHAD (520-H)</t>
  </si>
  <si>
    <t>2003</t>
  </si>
  <si>
    <t>Grand</t>
  </si>
  <si>
    <t>AGRICULTURE EXPENDITURE</t>
  </si>
  <si>
    <t>Receivables</t>
  </si>
  <si>
    <t>Payables</t>
  </si>
  <si>
    <t>Tax liabilities</t>
  </si>
  <si>
    <t>INVESTMENT PROPERTIES</t>
  </si>
  <si>
    <t>7% IRREDEMABLE CONVERTIBLE UNSECURED LOAN STOCKS</t>
  </si>
  <si>
    <t>Earnings Per Share - Basic (Sen)</t>
  </si>
  <si>
    <t xml:space="preserve">                                  - Diluted (Sen)</t>
  </si>
  <si>
    <t>As At 30th June 2003</t>
  </si>
  <si>
    <t>Ended 30 June</t>
  </si>
  <si>
    <t>2004</t>
  </si>
  <si>
    <t>3 months</t>
  </si>
  <si>
    <t>the Annual Financial Report for the year ended 31st March 2003.</t>
  </si>
  <si>
    <t>AS AT END OF</t>
  </si>
  <si>
    <t>CURRENT QUARTER</t>
  </si>
  <si>
    <t>For the quater ended 30th June 2003</t>
  </si>
  <si>
    <t xml:space="preserve">3 months quater ended </t>
  </si>
  <si>
    <t>30 June 2003</t>
  </si>
  <si>
    <t>30 June 2002</t>
  </si>
  <si>
    <t>For the quarter ended 30th June 2003</t>
  </si>
  <si>
    <t>Movements during the period</t>
  </si>
  <si>
    <t>Movement for the period</t>
  </si>
  <si>
    <t>Net Profit For The Period</t>
  </si>
  <si>
    <t>Balance at end of period</t>
  </si>
  <si>
    <t>EUROPLUS BERHAD</t>
  </si>
  <si>
    <t>CONDENSED CASHFLOW STATEMENT</t>
  </si>
  <si>
    <t>AS OF</t>
  </si>
  <si>
    <t>CASH FLOWS FROM OPERATING ACTIVITIES</t>
  </si>
  <si>
    <t>Addjustment for:</t>
  </si>
  <si>
    <t>Depreciation</t>
  </si>
  <si>
    <t>Amortisation of group cost of property development projects</t>
  </si>
  <si>
    <t>Amortisation of investment properties</t>
  </si>
  <si>
    <t>Amortisation of deferred membership</t>
  </si>
  <si>
    <t>Interest expense</t>
  </si>
  <si>
    <t>Share of results in associated companies</t>
  </si>
  <si>
    <t>Operating profit / (loss) before changes in working capital</t>
  </si>
  <si>
    <t>Deferred membership income</t>
  </si>
  <si>
    <t>Property development projects</t>
  </si>
  <si>
    <t>Cash generated from operations</t>
  </si>
  <si>
    <t>Interest paid</t>
  </si>
  <si>
    <t>Interest received</t>
  </si>
  <si>
    <t>Net cash used in operations</t>
  </si>
  <si>
    <t>CASH FLOWS FROM INVESTING ACTIVITIES</t>
  </si>
  <si>
    <t>Purchase of property, plant and equipment *</t>
  </si>
  <si>
    <t>Agriculture expenditure</t>
  </si>
  <si>
    <t>Proceeds from the disposal of property, plant and equipment</t>
  </si>
  <si>
    <t>Proceeds from investment properties</t>
  </si>
  <si>
    <t>Net cash used in investing activities</t>
  </si>
  <si>
    <t>CASH FLOWS FROM FINANCING ACTIVITIES</t>
  </si>
  <si>
    <t>Deposits into sinking funds</t>
  </si>
  <si>
    <t>Drawdown of term loan</t>
  </si>
  <si>
    <t>Repayment of bridging loan</t>
  </si>
  <si>
    <t>Repayment of term loan</t>
  </si>
  <si>
    <t>Repayment of revolving credit</t>
  </si>
  <si>
    <t>Repayment of overdraft</t>
  </si>
  <si>
    <t>Reayment of hire purchase and lease payables</t>
  </si>
  <si>
    <t>NET DECREASE IN CASH AND CASH EQUIVALENT</t>
  </si>
  <si>
    <t>CASH AND CASH EQUIVALENTS AT BEGINNING OF THE YEAR</t>
  </si>
  <si>
    <t>CASH AND CASH EQUIVALENTS AT END OF THE YEAR</t>
  </si>
  <si>
    <t>Cash and cash equivalent comprise:</t>
  </si>
  <si>
    <t>Opening balance:</t>
  </si>
  <si>
    <t>Cash and bank balances</t>
  </si>
  <si>
    <t>Deposits</t>
  </si>
  <si>
    <t>Deposits restricted in use</t>
  </si>
  <si>
    <t>Bank overdrafts &amp; RC</t>
  </si>
  <si>
    <t>Closing balance:</t>
  </si>
  <si>
    <t>*</t>
  </si>
  <si>
    <t>RM ' 000</t>
  </si>
  <si>
    <t>Cost of property, plant &amp; equipment acquired</t>
  </si>
  <si>
    <t>Amount financed by by hire purchase</t>
  </si>
  <si>
    <t>30 JUN 2003</t>
  </si>
  <si>
    <t xml:space="preserve">                                 the Annual Financial Report for the year ended 31st March 2003.</t>
  </si>
  <si>
    <t>Loss on the disposal of fixed assets</t>
  </si>
  <si>
    <t>Gain on disposal of investment property</t>
  </si>
  <si>
    <t>FOR THE YEAR 1ST APRIL 2003 TO 30 JUNE 2003</t>
  </si>
  <si>
    <t>Income taxes (paid) / refund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</si>
</sst>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_);[Red]\(#,##0.0\)"/>
    <numFmt numFmtId="167" formatCode="0.0%"/>
    <numFmt numFmtId="168" formatCode="_-* #,##0_-;\-* #,##0_-;_-* &quot;-&quot;??_-;_-@_-"/>
    <numFmt numFmtId="169" formatCode="_-* #,##0.00_-;\-* #,##0.00_-;_-* &quot;-&quot;??_-;_-@_-"/>
    <numFmt numFmtId="170" formatCode="_(* #,##0.0_);_(* \(#,##0.0\);_(* &quot;-&quot;?_);_(@_)"/>
    <numFmt numFmtId="171" formatCode="_(* #,##0.000_);_(* \(#,##0.000\);_(* &quot;-&quot;???_);_(@_)"/>
    <numFmt numFmtId="172" formatCode="_(* #,##0.0000_);_(* \(#,##0.0000\);_(* &quot;-&quot;????_);_(@_)"/>
  </numFmts>
  <fonts count="11">
    <font>
      <sz val="10"/>
      <name val="Arial"/>
      <family val="0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48"/>
      <name val="Times New Roman"/>
      <family val="1"/>
    </font>
    <font>
      <u val="single"/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b/>
      <u val="single"/>
      <sz val="12"/>
      <color indexed="48"/>
      <name val="Times New Roman"/>
      <family val="1"/>
    </font>
    <font>
      <sz val="10"/>
      <color indexed="4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38" fontId="4" fillId="0" borderId="0" xfId="0" applyNumberFormat="1" applyFont="1" applyAlignment="1">
      <alignment/>
    </xf>
    <xf numFmtId="38" fontId="5" fillId="0" borderId="0" xfId="0" applyNumberFormat="1" applyFont="1" applyAlignment="1">
      <alignment/>
    </xf>
    <xf numFmtId="38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/>
    </xf>
    <xf numFmtId="15" fontId="5" fillId="0" borderId="0" xfId="0" applyNumberFormat="1" applyFont="1" applyAlignment="1" quotePrefix="1">
      <alignment horizontal="center"/>
    </xf>
    <xf numFmtId="38" fontId="5" fillId="0" borderId="0" xfId="15" applyNumberFormat="1" applyFont="1" applyAlignment="1">
      <alignment/>
    </xf>
    <xf numFmtId="38" fontId="5" fillId="0" borderId="1" xfId="15" applyNumberFormat="1" applyFont="1" applyBorder="1" applyAlignment="1">
      <alignment/>
    </xf>
    <xf numFmtId="38" fontId="5" fillId="0" borderId="1" xfId="0" applyNumberFormat="1" applyFont="1" applyBorder="1" applyAlignment="1">
      <alignment/>
    </xf>
    <xf numFmtId="38" fontId="5" fillId="0" borderId="2" xfId="15" applyNumberFormat="1" applyFont="1" applyBorder="1" applyAlignment="1">
      <alignment/>
    </xf>
    <xf numFmtId="38" fontId="5" fillId="0" borderId="3" xfId="15" applyNumberFormat="1" applyFont="1" applyBorder="1" applyAlignment="1">
      <alignment/>
    </xf>
    <xf numFmtId="38" fontId="5" fillId="0" borderId="4" xfId="15" applyNumberFormat="1" applyFont="1" applyBorder="1" applyAlignment="1">
      <alignment/>
    </xf>
    <xf numFmtId="38" fontId="5" fillId="0" borderId="4" xfId="0" applyNumberFormat="1" applyFont="1" applyBorder="1" applyAlignment="1">
      <alignment/>
    </xf>
    <xf numFmtId="38" fontId="5" fillId="0" borderId="3" xfId="0" applyNumberFormat="1" applyFont="1" applyBorder="1" applyAlignment="1">
      <alignment/>
    </xf>
    <xf numFmtId="164" fontId="5" fillId="0" borderId="3" xfId="15" applyNumberFormat="1" applyFont="1" applyBorder="1" applyAlignment="1">
      <alignment/>
    </xf>
    <xf numFmtId="38" fontId="5" fillId="0" borderId="5" xfId="0" applyNumberFormat="1" applyFont="1" applyBorder="1" applyAlignment="1">
      <alignment/>
    </xf>
    <xf numFmtId="38" fontId="5" fillId="0" borderId="0" xfId="15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38" fontId="5" fillId="0" borderId="6" xfId="0" applyNumberFormat="1" applyFont="1" applyBorder="1" applyAlignment="1">
      <alignment/>
    </xf>
    <xf numFmtId="38" fontId="5" fillId="0" borderId="5" xfId="15" applyNumberFormat="1" applyFont="1" applyBorder="1" applyAlignment="1">
      <alignment/>
    </xf>
    <xf numFmtId="164" fontId="5" fillId="0" borderId="0" xfId="15" applyNumberFormat="1" applyFont="1" applyAlignment="1">
      <alignment/>
    </xf>
    <xf numFmtId="40" fontId="5" fillId="0" borderId="0" xfId="15" applyNumberFormat="1" applyFont="1" applyBorder="1" applyAlignment="1">
      <alignment/>
    </xf>
    <xf numFmtId="43" fontId="5" fillId="0" borderId="0" xfId="15" applyFont="1" applyAlignment="1">
      <alignment/>
    </xf>
    <xf numFmtId="38" fontId="5" fillId="0" borderId="0" xfId="0" applyNumberFormat="1" applyFont="1" applyAlignment="1" quotePrefix="1">
      <alignment/>
    </xf>
    <xf numFmtId="164" fontId="5" fillId="0" borderId="0" xfId="15" applyNumberFormat="1" applyFont="1" applyBorder="1" applyAlignment="1">
      <alignment/>
    </xf>
    <xf numFmtId="38" fontId="5" fillId="0" borderId="7" xfId="15" applyNumberFormat="1" applyFont="1" applyBorder="1" applyAlignment="1">
      <alignment/>
    </xf>
    <xf numFmtId="0" fontId="1" fillId="0" borderId="0" xfId="0" applyFont="1" applyAlignment="1" quotePrefix="1">
      <alignment/>
    </xf>
    <xf numFmtId="15" fontId="1" fillId="0" borderId="0" xfId="0" applyNumberFormat="1" applyFont="1" applyAlignment="1" quotePrefix="1">
      <alignment/>
    </xf>
    <xf numFmtId="164" fontId="2" fillId="0" borderId="0" xfId="15" applyNumberFormat="1" applyFont="1" applyAlignment="1">
      <alignment/>
    </xf>
    <xf numFmtId="164" fontId="3" fillId="0" borderId="2" xfId="15" applyNumberFormat="1" applyFont="1" applyBorder="1" applyAlignment="1" quotePrefix="1">
      <alignment horizontal="center"/>
    </xf>
    <xf numFmtId="164" fontId="2" fillId="0" borderId="5" xfId="15" applyNumberFormat="1" applyFont="1" applyBorder="1" applyAlignment="1">
      <alignment/>
    </xf>
    <xf numFmtId="164" fontId="3" fillId="0" borderId="8" xfId="15" applyNumberFormat="1" applyFont="1" applyBorder="1" applyAlignment="1" quotePrefix="1">
      <alignment horizontal="center"/>
    </xf>
    <xf numFmtId="164" fontId="3" fillId="0" borderId="9" xfId="15" applyNumberFormat="1" applyFont="1" applyBorder="1" applyAlignment="1">
      <alignment horizontal="center"/>
    </xf>
    <xf numFmtId="164" fontId="3" fillId="0" borderId="10" xfId="15" applyNumberFormat="1" applyFont="1" applyBorder="1" applyAlignment="1">
      <alignment horizontal="center"/>
    </xf>
    <xf numFmtId="164" fontId="3" fillId="0" borderId="2" xfId="15" applyNumberFormat="1" applyFont="1" applyBorder="1" applyAlignment="1">
      <alignment horizontal="center"/>
    </xf>
    <xf numFmtId="164" fontId="2" fillId="0" borderId="3" xfId="15" applyNumberFormat="1" applyFont="1" applyBorder="1" applyAlignment="1">
      <alignment/>
    </xf>
    <xf numFmtId="164" fontId="2" fillId="0" borderId="1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43" fontId="2" fillId="0" borderId="11" xfId="15" applyFont="1" applyBorder="1" applyAlignment="1">
      <alignment/>
    </xf>
    <xf numFmtId="164" fontId="3" fillId="2" borderId="2" xfId="15" applyNumberFormat="1" applyFont="1" applyFill="1" applyBorder="1" applyAlignment="1" quotePrefix="1">
      <alignment horizontal="center"/>
    </xf>
    <xf numFmtId="164" fontId="3" fillId="2" borderId="3" xfId="15" applyNumberFormat="1" applyFont="1" applyFill="1" applyBorder="1" applyAlignment="1" quotePrefix="1">
      <alignment horizontal="center"/>
    </xf>
    <xf numFmtId="164" fontId="3" fillId="2" borderId="11" xfId="15" applyNumberFormat="1" applyFont="1" applyFill="1" applyBorder="1" applyAlignment="1">
      <alignment horizontal="center"/>
    </xf>
    <xf numFmtId="164" fontId="3" fillId="2" borderId="2" xfId="15" applyNumberFormat="1" applyFont="1" applyFill="1" applyBorder="1" applyAlignment="1">
      <alignment horizontal="center"/>
    </xf>
    <xf numFmtId="164" fontId="2" fillId="2" borderId="3" xfId="15" applyNumberFormat="1" applyFont="1" applyFill="1" applyBorder="1" applyAlignment="1">
      <alignment/>
    </xf>
    <xf numFmtId="164" fontId="2" fillId="2" borderId="11" xfId="15" applyNumberFormat="1" applyFont="1" applyFill="1" applyBorder="1" applyAlignment="1">
      <alignment/>
    </xf>
    <xf numFmtId="164" fontId="2" fillId="2" borderId="2" xfId="15" applyNumberFormat="1" applyFont="1" applyFill="1" applyBorder="1" applyAlignment="1">
      <alignment/>
    </xf>
    <xf numFmtId="164" fontId="2" fillId="2" borderId="4" xfId="15" applyNumberFormat="1" applyFont="1" applyFill="1" applyBorder="1" applyAlignment="1">
      <alignment/>
    </xf>
    <xf numFmtId="43" fontId="2" fillId="2" borderId="11" xfId="15" applyFont="1" applyFill="1" applyBorder="1" applyAlignment="1">
      <alignment/>
    </xf>
    <xf numFmtId="43" fontId="2" fillId="0" borderId="4" xfId="15" applyFont="1" applyBorder="1" applyAlignment="1">
      <alignment/>
    </xf>
    <xf numFmtId="43" fontId="2" fillId="2" borderId="4" xfId="15" applyFont="1" applyFill="1" applyBorder="1" applyAlignment="1">
      <alignment/>
    </xf>
    <xf numFmtId="164" fontId="2" fillId="0" borderId="0" xfId="15" applyNumberFormat="1" applyFont="1" applyAlignment="1">
      <alignment horizontal="center"/>
    </xf>
    <xf numFmtId="164" fontId="2" fillId="0" borderId="5" xfId="15" applyNumberFormat="1" applyFont="1" applyBorder="1" applyAlignment="1">
      <alignment horizontal="center"/>
    </xf>
    <xf numFmtId="164" fontId="2" fillId="0" borderId="1" xfId="15" applyNumberFormat="1" applyFont="1" applyBorder="1" applyAlignment="1">
      <alignment/>
    </xf>
    <xf numFmtId="38" fontId="10" fillId="0" borderId="0" xfId="15" applyNumberFormat="1" applyFont="1" applyAlignment="1">
      <alignment/>
    </xf>
    <xf numFmtId="38" fontId="10" fillId="0" borderId="3" xfId="15" applyNumberFormat="1" applyFont="1" applyBorder="1" applyAlignment="1">
      <alignment/>
    </xf>
    <xf numFmtId="38" fontId="10" fillId="0" borderId="0" xfId="0" applyNumberFormat="1" applyFont="1" applyAlignment="1">
      <alignment/>
    </xf>
    <xf numFmtId="38" fontId="10" fillId="0" borderId="5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164" fontId="10" fillId="0" borderId="0" xfId="15" applyNumberFormat="1" applyFont="1" applyBorder="1" applyAlignment="1">
      <alignment/>
    </xf>
    <xf numFmtId="38" fontId="6" fillId="3" borderId="0" xfId="0" applyNumberFormat="1" applyFont="1" applyFill="1" applyAlignment="1">
      <alignment/>
    </xf>
    <xf numFmtId="38" fontId="8" fillId="3" borderId="0" xfId="0" applyNumberFormat="1" applyFont="1" applyFill="1" applyAlignment="1">
      <alignment/>
    </xf>
    <xf numFmtId="38" fontId="6" fillId="3" borderId="0" xfId="0" applyNumberFormat="1" applyFont="1" applyFill="1" applyAlignment="1">
      <alignment/>
    </xf>
    <xf numFmtId="38" fontId="9" fillId="3" borderId="0" xfId="0" applyNumberFormat="1" applyFont="1" applyFill="1" applyAlignment="1">
      <alignment/>
    </xf>
    <xf numFmtId="38" fontId="6" fillId="3" borderId="0" xfId="0" applyNumberFormat="1" applyFont="1" applyFill="1" applyAlignment="1">
      <alignment horizontal="center"/>
    </xf>
    <xf numFmtId="38" fontId="8" fillId="3" borderId="0" xfId="0" applyNumberFormat="1" applyFont="1" applyFill="1" applyAlignment="1">
      <alignment horizontal="center"/>
    </xf>
    <xf numFmtId="38" fontId="6" fillId="3" borderId="0" xfId="0" applyNumberFormat="1" applyFont="1" applyFill="1" applyAlignment="1" quotePrefix="1">
      <alignment horizontal="center"/>
    </xf>
    <xf numFmtId="38" fontId="6" fillId="3" borderId="5" xfId="0" applyNumberFormat="1" applyFont="1" applyFill="1" applyBorder="1" applyAlignment="1">
      <alignment/>
    </xf>
    <xf numFmtId="38" fontId="6" fillId="3" borderId="0" xfId="0" applyNumberFormat="1" applyFont="1" applyFill="1" applyBorder="1" applyAlignment="1">
      <alignment/>
    </xf>
    <xf numFmtId="38" fontId="6" fillId="3" borderId="1" xfId="0" applyNumberFormat="1" applyFont="1" applyFill="1" applyBorder="1" applyAlignment="1">
      <alignment/>
    </xf>
    <xf numFmtId="38" fontId="6" fillId="3" borderId="0" xfId="0" applyNumberFormat="1" applyFont="1" applyFill="1" applyBorder="1" applyAlignment="1">
      <alignment/>
    </xf>
    <xf numFmtId="38" fontId="7" fillId="3" borderId="0" xfId="0" applyNumberFormat="1" applyFont="1" applyFill="1" applyAlignment="1">
      <alignment horizontal="center"/>
    </xf>
    <xf numFmtId="38" fontId="6" fillId="3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so0603\lcb06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audit0303\lcb0303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bs"/>
      <sheetName val="p&amp;l"/>
      <sheetName val="notes"/>
      <sheetName val="Comparison"/>
      <sheetName val="loan"/>
      <sheetName val="borrow"/>
      <sheetName val="dn contract"/>
      <sheetName val="groupseg"/>
      <sheetName val="LP"/>
      <sheetName val="cy adj"/>
      <sheetName val="permanent adj"/>
      <sheetName val="inter recon"/>
      <sheetName val="restruc fva"/>
      <sheetName val="lcbseg"/>
      <sheetName val="segment"/>
      <sheetName val="inv prop"/>
      <sheetName val="pdp"/>
      <sheetName val="fva amort"/>
      <sheetName val="mgt fees"/>
      <sheetName val="inter coy"/>
      <sheetName val="lcbmgmt"/>
      <sheetName val="intercoy wo"/>
      <sheetName val="od &amp; oc"/>
      <sheetName val="associate"/>
      <sheetName val="proof assc-ca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bs"/>
      <sheetName val="p&amp;l"/>
      <sheetName val="notes"/>
      <sheetName val="Comparison"/>
      <sheetName val="loan"/>
      <sheetName val="borrow"/>
      <sheetName val="dn contract"/>
      <sheetName val="LP"/>
      <sheetName val="cy adj"/>
      <sheetName val="inter recon"/>
      <sheetName val="od &amp; oc"/>
      <sheetName val="permanent adj"/>
      <sheetName val="groupseg"/>
      <sheetName val="lcbseg"/>
      <sheetName val="segment"/>
      <sheetName val="inv prop"/>
      <sheetName val="restruc fva"/>
      <sheetName val="pdp"/>
      <sheetName val="fva amort"/>
      <sheetName val="mgt fees"/>
      <sheetName val="inter coy"/>
      <sheetName val="lcbmgmt"/>
      <sheetName val="intercoy wo"/>
      <sheetName val="associate"/>
      <sheetName val="proof assc-ca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42"/>
  <sheetViews>
    <sheetView showGridLines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23" sqref="D23"/>
    </sheetView>
  </sheetViews>
  <sheetFormatPr defaultColWidth="9.140625" defaultRowHeight="12.75"/>
  <cols>
    <col min="1" max="1" width="9.140625" style="2" customWidth="1"/>
    <col min="2" max="2" width="22.140625" style="2" customWidth="1"/>
    <col min="3" max="3" width="5.57421875" style="2" customWidth="1"/>
    <col min="4" max="4" width="19.140625" style="31" customWidth="1"/>
    <col min="5" max="5" width="19.421875" style="31" customWidth="1"/>
    <col min="6" max="6" width="18.421875" style="31" customWidth="1"/>
    <col min="7" max="7" width="18.28125" style="31" customWidth="1"/>
    <col min="8" max="8" width="17.8515625" style="2" customWidth="1"/>
    <col min="9" max="9" width="3.421875" style="2" customWidth="1"/>
    <col min="10" max="10" width="19.140625" style="2" customWidth="1"/>
    <col min="11" max="16384" width="9.140625" style="2" customWidth="1"/>
  </cols>
  <sheetData>
    <row r="3" ht="12.75">
      <c r="B3" s="1" t="s">
        <v>60</v>
      </c>
    </row>
    <row r="5" ht="12.75">
      <c r="B5" s="1" t="s">
        <v>1</v>
      </c>
    </row>
    <row r="6" ht="12.75">
      <c r="B6" s="1" t="s">
        <v>82</v>
      </c>
    </row>
    <row r="8" spans="4:7" ht="12.75">
      <c r="D8" s="34" t="s">
        <v>73</v>
      </c>
      <c r="E8" s="43" t="s">
        <v>73</v>
      </c>
      <c r="F8" s="32" t="s">
        <v>61</v>
      </c>
      <c r="G8" s="43" t="s">
        <v>61</v>
      </c>
    </row>
    <row r="9" spans="4:7" ht="12.75">
      <c r="D9" s="35" t="s">
        <v>2</v>
      </c>
      <c r="E9" s="44" t="s">
        <v>74</v>
      </c>
      <c r="F9" s="35" t="s">
        <v>2</v>
      </c>
      <c r="G9" s="44" t="s">
        <v>74</v>
      </c>
    </row>
    <row r="10" spans="4:7" ht="12.75">
      <c r="D10" s="36" t="s">
        <v>72</v>
      </c>
      <c r="E10" s="45" t="s">
        <v>4</v>
      </c>
      <c r="F10" s="36" t="s">
        <v>72</v>
      </c>
      <c r="G10" s="45" t="s">
        <v>4</v>
      </c>
    </row>
    <row r="11" spans="4:7" ht="12.75">
      <c r="D11" s="37" t="s">
        <v>54</v>
      </c>
      <c r="E11" s="46" t="s">
        <v>54</v>
      </c>
      <c r="F11" s="37" t="s">
        <v>54</v>
      </c>
      <c r="G11" s="46" t="s">
        <v>54</v>
      </c>
    </row>
    <row r="12" spans="4:7" ht="12.75">
      <c r="D12" s="38"/>
      <c r="E12" s="47"/>
      <c r="F12" s="38"/>
      <c r="G12" s="47"/>
    </row>
    <row r="13" spans="2:7" ht="12.75">
      <c r="B13" s="2" t="s">
        <v>3</v>
      </c>
      <c r="D13" s="38">
        <f>E13-0</f>
        <v>166501</v>
      </c>
      <c r="E13" s="47">
        <f>166501</f>
        <v>166501</v>
      </c>
      <c r="F13" s="38">
        <f>175030</f>
        <v>175030</v>
      </c>
      <c r="G13" s="47">
        <f>175030</f>
        <v>175030</v>
      </c>
    </row>
    <row r="14" spans="4:7" ht="12.75">
      <c r="D14" s="38"/>
      <c r="E14" s="47"/>
      <c r="F14" s="38"/>
      <c r="G14" s="47"/>
    </row>
    <row r="15" spans="2:7" ht="12.75">
      <c r="B15" s="2" t="s">
        <v>5</v>
      </c>
      <c r="D15" s="38">
        <f>E15-0</f>
        <v>-153569</v>
      </c>
      <c r="E15" s="47">
        <f>-153569</f>
        <v>-153569</v>
      </c>
      <c r="F15" s="38">
        <f>-160498</f>
        <v>-160498</v>
      </c>
      <c r="G15" s="47">
        <f>-160498</f>
        <v>-160498</v>
      </c>
    </row>
    <row r="16" spans="4:7" ht="12.75">
      <c r="D16" s="38"/>
      <c r="E16" s="47"/>
      <c r="F16" s="38"/>
      <c r="G16" s="47"/>
    </row>
    <row r="17" spans="2:7" ht="12.75">
      <c r="B17" s="2" t="s">
        <v>6</v>
      </c>
      <c r="D17" s="39">
        <f>E17-0</f>
        <v>4932</v>
      </c>
      <c r="E17" s="48">
        <f>4932</f>
        <v>4932</v>
      </c>
      <c r="F17" s="39">
        <f>3075</f>
        <v>3075</v>
      </c>
      <c r="G17" s="48">
        <f>3075</f>
        <v>3075</v>
      </c>
    </row>
    <row r="18" spans="2:7" ht="19.5" customHeight="1">
      <c r="B18" s="2" t="s">
        <v>7</v>
      </c>
      <c r="D18" s="40">
        <f>SUM(D13:D17)</f>
        <v>17864</v>
      </c>
      <c r="E18" s="49">
        <f>SUM(E13:E17)</f>
        <v>17864</v>
      </c>
      <c r="F18" s="40">
        <f>SUM(F13:F17)</f>
        <v>17607</v>
      </c>
      <c r="G18" s="49">
        <f>SUM(G13:G17)</f>
        <v>17607</v>
      </c>
    </row>
    <row r="19" spans="4:7" ht="12.75" customHeight="1">
      <c r="D19" s="38"/>
      <c r="E19" s="47"/>
      <c r="F19" s="38"/>
      <c r="G19" s="47"/>
    </row>
    <row r="20" spans="2:7" ht="12.75" customHeight="1">
      <c r="B20" s="2" t="s">
        <v>8</v>
      </c>
      <c r="D20" s="38">
        <f>E20-0</f>
        <v>-3225</v>
      </c>
      <c r="E20" s="47">
        <f>-3225</f>
        <v>-3225</v>
      </c>
      <c r="F20" s="38">
        <f>-3521</f>
        <v>-3521</v>
      </c>
      <c r="G20" s="47">
        <f>-3521</f>
        <v>-3521</v>
      </c>
    </row>
    <row r="21" spans="4:7" ht="12.75">
      <c r="D21" s="38"/>
      <c r="E21" s="47"/>
      <c r="F21" s="38"/>
      <c r="G21" s="47"/>
    </row>
    <row r="22" spans="2:7" ht="12.75">
      <c r="B22" s="2" t="s">
        <v>9</v>
      </c>
      <c r="D22" s="39">
        <f>E22-0</f>
        <v>113</v>
      </c>
      <c r="E22" s="48">
        <f>113</f>
        <v>113</v>
      </c>
      <c r="F22" s="39">
        <f>82</f>
        <v>82</v>
      </c>
      <c r="G22" s="48">
        <f>82</f>
        <v>82</v>
      </c>
    </row>
    <row r="23" spans="2:7" ht="19.5" customHeight="1">
      <c r="B23" s="2" t="s">
        <v>10</v>
      </c>
      <c r="D23" s="38">
        <f>SUM(D18:D22)</f>
        <v>14752</v>
      </c>
      <c r="E23" s="47">
        <f>SUM(E18:E22)</f>
        <v>14752</v>
      </c>
      <c r="F23" s="38">
        <f>SUM(F18:F22)</f>
        <v>14168</v>
      </c>
      <c r="G23" s="47">
        <f>SUM(G18:G22)</f>
        <v>14168</v>
      </c>
    </row>
    <row r="24" spans="4:7" ht="12.75">
      <c r="D24" s="38"/>
      <c r="E24" s="47"/>
      <c r="F24" s="38"/>
      <c r="G24" s="47"/>
    </row>
    <row r="25" spans="2:7" ht="12.75">
      <c r="B25" s="2" t="s">
        <v>11</v>
      </c>
      <c r="D25" s="39">
        <f>E25-0</f>
        <v>-4276</v>
      </c>
      <c r="E25" s="48">
        <f>-4276</f>
        <v>-4276</v>
      </c>
      <c r="F25" s="39">
        <f>-4033</f>
        <v>-4033</v>
      </c>
      <c r="G25" s="48">
        <f>-4033</f>
        <v>-4033</v>
      </c>
    </row>
    <row r="26" spans="2:7" ht="19.5" customHeight="1">
      <c r="B26" s="2" t="s">
        <v>12</v>
      </c>
      <c r="D26" s="38">
        <f>SUM(D23:D25)</f>
        <v>10476</v>
      </c>
      <c r="E26" s="47">
        <f>SUM(E23:E25)</f>
        <v>10476</v>
      </c>
      <c r="F26" s="38">
        <f>SUM(F23:F25)</f>
        <v>10135</v>
      </c>
      <c r="G26" s="47">
        <f>SUM(G23:G25)</f>
        <v>10135</v>
      </c>
    </row>
    <row r="27" spans="4:7" ht="12.75">
      <c r="D27" s="38"/>
      <c r="E27" s="47"/>
      <c r="F27" s="38"/>
      <c r="G27" s="47"/>
    </row>
    <row r="28" spans="2:7" ht="12.75">
      <c r="B28" s="2" t="s">
        <v>13</v>
      </c>
      <c r="D28" s="39">
        <f>E28-0</f>
        <v>-1477</v>
      </c>
      <c r="E28" s="48">
        <f>-1477</f>
        <v>-1477</v>
      </c>
      <c r="F28" s="39">
        <f>-1607</f>
        <v>-1607</v>
      </c>
      <c r="G28" s="48">
        <f>-1607</f>
        <v>-1607</v>
      </c>
    </row>
    <row r="29" spans="2:7" ht="19.5" customHeight="1">
      <c r="B29" s="2" t="s">
        <v>14</v>
      </c>
      <c r="D29" s="41">
        <f>SUM(D26:D28)</f>
        <v>8999</v>
      </c>
      <c r="E29" s="50">
        <f>SUM(E26:E28)</f>
        <v>8999</v>
      </c>
      <c r="F29" s="41">
        <f>SUM(F26:F28)</f>
        <v>8528</v>
      </c>
      <c r="G29" s="50">
        <f>SUM(G26:G28)</f>
        <v>8528</v>
      </c>
    </row>
    <row r="30" spans="4:7" ht="12.75">
      <c r="D30" s="38"/>
      <c r="E30" s="47"/>
      <c r="F30" s="38"/>
      <c r="G30" s="47"/>
    </row>
    <row r="31" spans="2:7" ht="12.75">
      <c r="B31" s="2" t="s">
        <v>69</v>
      </c>
      <c r="D31" s="42">
        <f>(D29/268577)*100</f>
        <v>3.3506219817780374</v>
      </c>
      <c r="E31" s="51">
        <f>(E29/B_Sheet!E42)*100</f>
        <v>3.3506219817780374</v>
      </c>
      <c r="F31" s="42">
        <v>3.18</v>
      </c>
      <c r="G31" s="51">
        <v>3.18</v>
      </c>
    </row>
    <row r="32" spans="2:7" ht="12.75">
      <c r="B32" s="3" t="s">
        <v>70</v>
      </c>
      <c r="D32" s="52">
        <f>2.31</f>
        <v>2.31</v>
      </c>
      <c r="E32" s="53">
        <f>2.31</f>
        <v>2.31</v>
      </c>
      <c r="F32" s="52">
        <v>2.21</v>
      </c>
      <c r="G32" s="53">
        <v>2.21</v>
      </c>
    </row>
    <row r="41" ht="12.75">
      <c r="C41" s="2" t="s">
        <v>55</v>
      </c>
    </row>
    <row r="42" ht="12.75">
      <c r="C42" s="2" t="s">
        <v>75</v>
      </c>
    </row>
  </sheetData>
  <printOptions/>
  <pageMargins left="0.25" right="0.25" top="0.25" bottom="0.25" header="0.5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5"/>
  <sheetViews>
    <sheetView showGridLines="0" workbookViewId="0" topLeftCell="A1">
      <pane xSplit="4" ySplit="9" topLeftCell="E41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60" sqref="E60"/>
    </sheetView>
  </sheetViews>
  <sheetFormatPr defaultColWidth="9.140625" defaultRowHeight="12.75"/>
  <cols>
    <col min="1" max="1" width="0.85546875" style="5" customWidth="1"/>
    <col min="2" max="2" width="4.140625" style="5" customWidth="1"/>
    <col min="3" max="3" width="53.8515625" style="5" customWidth="1"/>
    <col min="4" max="4" width="2.421875" style="5" customWidth="1"/>
    <col min="5" max="5" width="18.7109375" style="5" customWidth="1"/>
    <col min="6" max="6" width="3.7109375" style="5" customWidth="1"/>
    <col min="7" max="7" width="18.7109375" style="5" customWidth="1"/>
    <col min="8" max="8" width="9.140625" style="5" customWidth="1"/>
    <col min="9" max="10" width="16.140625" style="5" customWidth="1"/>
    <col min="11" max="16384" width="9.140625" style="5" customWidth="1"/>
  </cols>
  <sheetData>
    <row r="1" s="4" customFormat="1" ht="15.75">
      <c r="B1" s="1" t="s">
        <v>60</v>
      </c>
    </row>
    <row r="2" ht="12.75">
      <c r="B2" s="2"/>
    </row>
    <row r="3" ht="12.75">
      <c r="B3" s="1" t="s">
        <v>35</v>
      </c>
    </row>
    <row r="4" ht="12.75">
      <c r="B4" s="1" t="s">
        <v>71</v>
      </c>
    </row>
    <row r="5" spans="5:7" ht="12.75">
      <c r="E5" s="6" t="s">
        <v>76</v>
      </c>
      <c r="G5" s="6" t="s">
        <v>15</v>
      </c>
    </row>
    <row r="6" spans="5:7" ht="12.75">
      <c r="E6" s="6" t="s">
        <v>77</v>
      </c>
      <c r="G6" s="6" t="s">
        <v>16</v>
      </c>
    </row>
    <row r="7" spans="5:7" ht="12.75">
      <c r="E7" s="6"/>
      <c r="G7" s="6" t="s">
        <v>17</v>
      </c>
    </row>
    <row r="8" spans="5:7" ht="12.75">
      <c r="E8" s="8">
        <v>37802</v>
      </c>
      <c r="F8" s="7"/>
      <c r="G8" s="8">
        <v>37711</v>
      </c>
    </row>
    <row r="9" spans="5:7" ht="12.75">
      <c r="E9" s="6" t="s">
        <v>18</v>
      </c>
      <c r="G9" s="6" t="s">
        <v>18</v>
      </c>
    </row>
    <row r="10" ht="12.75">
      <c r="E10" s="6"/>
    </row>
    <row r="11" spans="2:7" ht="12.75">
      <c r="B11" s="5" t="s">
        <v>19</v>
      </c>
      <c r="E11" s="9">
        <f>109686</f>
        <v>109686</v>
      </c>
      <c r="G11" s="57">
        <f>110602</f>
        <v>110602</v>
      </c>
    </row>
    <row r="12" spans="5:7" ht="12.75">
      <c r="E12" s="9"/>
      <c r="G12" s="57"/>
    </row>
    <row r="13" spans="2:7" ht="12.75">
      <c r="B13" s="5" t="s">
        <v>67</v>
      </c>
      <c r="E13" s="9">
        <f>105580</f>
        <v>105580</v>
      </c>
      <c r="G13" s="57">
        <f>106708</f>
        <v>106708</v>
      </c>
    </row>
    <row r="14" spans="5:7" ht="12.75">
      <c r="E14" s="9"/>
      <c r="G14" s="9"/>
    </row>
    <row r="15" spans="2:7" ht="12.75">
      <c r="B15" s="5" t="s">
        <v>20</v>
      </c>
      <c r="E15" s="9">
        <f>847978</f>
        <v>847978</v>
      </c>
      <c r="G15" s="57">
        <f>739522</f>
        <v>739522</v>
      </c>
    </row>
    <row r="16" spans="5:7" ht="12.75">
      <c r="E16" s="9"/>
      <c r="G16" s="9"/>
    </row>
    <row r="17" spans="2:7" ht="12.75">
      <c r="B17" s="5" t="s">
        <v>63</v>
      </c>
      <c r="E17" s="9">
        <f>386</f>
        <v>386</v>
      </c>
      <c r="G17" s="9">
        <v>0</v>
      </c>
    </row>
    <row r="18" spans="5:7" ht="12.75">
      <c r="E18" s="9"/>
      <c r="G18" s="9"/>
    </row>
    <row r="19" spans="2:7" ht="12.75">
      <c r="B19" s="5" t="s">
        <v>21</v>
      </c>
      <c r="E19" s="9">
        <f>57659</f>
        <v>57659</v>
      </c>
      <c r="G19" s="57">
        <f>57543</f>
        <v>57543</v>
      </c>
    </row>
    <row r="20" spans="5:7" ht="18" customHeight="1">
      <c r="E20" s="10">
        <f>SUM(E11:E19)</f>
        <v>1121289</v>
      </c>
      <c r="G20" s="11">
        <f>SUM(G11:G19)</f>
        <v>1014375</v>
      </c>
    </row>
    <row r="21" ht="12.75">
      <c r="E21" s="9"/>
    </row>
    <row r="22" spans="2:5" ht="12.75">
      <c r="B22" s="5" t="s">
        <v>22</v>
      </c>
      <c r="E22" s="9"/>
    </row>
    <row r="23" spans="3:7" ht="12.75">
      <c r="C23" s="5" t="s">
        <v>23</v>
      </c>
      <c r="E23" s="12">
        <f>792753</f>
        <v>792753</v>
      </c>
      <c r="G23" s="12">
        <f>813370</f>
        <v>813370</v>
      </c>
    </row>
    <row r="24" spans="3:7" ht="12.75">
      <c r="C24" s="5" t="s">
        <v>24</v>
      </c>
      <c r="E24" s="13">
        <f>29574</f>
        <v>29574</v>
      </c>
      <c r="G24" s="58">
        <f>29574</f>
        <v>29574</v>
      </c>
    </row>
    <row r="25" spans="3:7" ht="12.75">
      <c r="C25" s="5" t="s">
        <v>64</v>
      </c>
      <c r="E25" s="13">
        <f>205444</f>
        <v>205444</v>
      </c>
      <c r="G25" s="13">
        <f>168601+146064+10574</f>
        <v>325239</v>
      </c>
    </row>
    <row r="26" spans="3:7" ht="12.75">
      <c r="C26" s="5" t="s">
        <v>36</v>
      </c>
      <c r="E26" s="13">
        <f>315505</f>
        <v>315505</v>
      </c>
      <c r="G26" s="58">
        <f>233261+14881</f>
        <v>248142</v>
      </c>
    </row>
    <row r="27" spans="3:7" ht="18" customHeight="1">
      <c r="C27" s="5" t="s">
        <v>25</v>
      </c>
      <c r="E27" s="14">
        <f>SUM(E23:E26)</f>
        <v>1343276</v>
      </c>
      <c r="G27" s="15">
        <f>SUM(G23:G26)</f>
        <v>1416325</v>
      </c>
    </row>
    <row r="28" spans="5:7" ht="12.75">
      <c r="E28" s="13"/>
      <c r="G28" s="16"/>
    </row>
    <row r="29" spans="2:7" ht="12.75">
      <c r="B29" s="5" t="s">
        <v>26</v>
      </c>
      <c r="E29" s="13"/>
      <c r="G29" s="16"/>
    </row>
    <row r="30" spans="3:7" ht="12.75">
      <c r="C30" s="5" t="s">
        <v>65</v>
      </c>
      <c r="E30" s="13">
        <f>668598</f>
        <v>668598</v>
      </c>
      <c r="G30" s="13">
        <f>314877+104339+228910</f>
        <v>648126</v>
      </c>
    </row>
    <row r="31" spans="3:7" ht="12.75">
      <c r="C31" s="5" t="s">
        <v>37</v>
      </c>
      <c r="E31" s="17">
        <f>494183</f>
        <v>494183</v>
      </c>
      <c r="G31" s="13">
        <f>48232+17636+442508</f>
        <v>508376</v>
      </c>
    </row>
    <row r="32" spans="3:7" ht="12.75">
      <c r="C32" s="5" t="s">
        <v>66</v>
      </c>
      <c r="E32" s="13">
        <f>114519</f>
        <v>114519</v>
      </c>
      <c r="G32" s="13">
        <f>110556</f>
        <v>110556</v>
      </c>
    </row>
    <row r="33" spans="3:7" ht="16.5" customHeight="1">
      <c r="C33" s="5" t="s">
        <v>27</v>
      </c>
      <c r="E33" s="14">
        <f>SUM(E30:E32)</f>
        <v>1277300</v>
      </c>
      <c r="G33" s="14">
        <f>SUM(G30:G32)</f>
        <v>1267058</v>
      </c>
    </row>
    <row r="34" ht="12.75">
      <c r="E34" s="9"/>
    </row>
    <row r="35" spans="2:7" ht="18" customHeight="1">
      <c r="B35" s="5" t="s">
        <v>28</v>
      </c>
      <c r="E35" s="5">
        <f>+E27-E33</f>
        <v>65976</v>
      </c>
      <c r="G35" s="5">
        <f>+G27-G33</f>
        <v>149267</v>
      </c>
    </row>
    <row r="36" spans="5:7" ht="12.75">
      <c r="E36" s="18"/>
      <c r="G36" s="18"/>
    </row>
    <row r="37" spans="5:7" ht="7.5" customHeight="1">
      <c r="E37" s="19"/>
      <c r="G37" s="20"/>
    </row>
    <row r="38" spans="2:7" ht="13.5" thickBot="1">
      <c r="B38" s="5" t="s">
        <v>29</v>
      </c>
      <c r="E38" s="21">
        <f>+E20+E35</f>
        <v>1187265</v>
      </c>
      <c r="G38" s="21">
        <f>+G20+G35</f>
        <v>1163642</v>
      </c>
    </row>
    <row r="39" ht="13.5" thickTop="1">
      <c r="E39" s="9"/>
    </row>
    <row r="40" spans="2:5" ht="12.75">
      <c r="B40" s="5" t="s">
        <v>30</v>
      </c>
      <c r="E40" s="9"/>
    </row>
    <row r="41" ht="12.75">
      <c r="E41" s="9"/>
    </row>
    <row r="42" spans="2:7" ht="12.75">
      <c r="B42" s="5" t="s">
        <v>31</v>
      </c>
      <c r="E42" s="9">
        <f>268577</f>
        <v>268577</v>
      </c>
      <c r="G42" s="59">
        <f>268577</f>
        <v>268577</v>
      </c>
    </row>
    <row r="43" spans="2:7" ht="12.75">
      <c r="B43" s="5" t="s">
        <v>38</v>
      </c>
      <c r="E43" s="22">
        <f>418220</f>
        <v>418220</v>
      </c>
      <c r="F43" s="20"/>
      <c r="G43" s="60">
        <f>158598+404+15891+1214+232335</f>
        <v>408442</v>
      </c>
    </row>
    <row r="44" ht="7.5" customHeight="1">
      <c r="E44" s="9"/>
    </row>
    <row r="45" spans="2:7" ht="12.75">
      <c r="B45" s="5" t="s">
        <v>32</v>
      </c>
      <c r="E45" s="9">
        <f>SUM(E42:E43)</f>
        <v>686797</v>
      </c>
      <c r="G45" s="9">
        <f>SUM(G42:G43)</f>
        <v>677019</v>
      </c>
    </row>
    <row r="46" spans="5:7" ht="12.75">
      <c r="E46" s="9"/>
      <c r="G46" s="9"/>
    </row>
    <row r="47" spans="2:7" ht="12.75">
      <c r="B47" s="5" t="s">
        <v>68</v>
      </c>
      <c r="E47" s="19">
        <f>91386</f>
        <v>91386</v>
      </c>
      <c r="F47" s="20"/>
      <c r="G47" s="61">
        <f>84008+7378</f>
        <v>91386</v>
      </c>
    </row>
    <row r="48" ht="12.75">
      <c r="E48" s="9"/>
    </row>
    <row r="49" spans="2:7" ht="12.75">
      <c r="B49" s="5" t="s">
        <v>39</v>
      </c>
      <c r="E49" s="9">
        <f>56386</f>
        <v>56386</v>
      </c>
      <c r="G49" s="59">
        <f>54908</f>
        <v>54908</v>
      </c>
    </row>
    <row r="50" spans="5:7" ht="12.75">
      <c r="E50" s="9"/>
      <c r="G50" s="23"/>
    </row>
    <row r="51" spans="2:7" ht="12.75">
      <c r="B51" s="5" t="s">
        <v>40</v>
      </c>
      <c r="E51" s="19"/>
      <c r="G51" s="20"/>
    </row>
    <row r="52" spans="3:7" ht="12.75">
      <c r="C52" s="26" t="s">
        <v>42</v>
      </c>
      <c r="E52" s="20">
        <f>291325</f>
        <v>291325</v>
      </c>
      <c r="F52" s="20"/>
      <c r="G52" s="62">
        <f>24267+6593+264469</f>
        <v>295329</v>
      </c>
    </row>
    <row r="53" spans="3:7" ht="12.75">
      <c r="C53" s="5" t="s">
        <v>41</v>
      </c>
      <c r="E53" s="27">
        <f>61371</f>
        <v>61371</v>
      </c>
      <c r="F53" s="20"/>
      <c r="G53" s="19">
        <f>21500+346+17763+3670+1721</f>
        <v>45000</v>
      </c>
    </row>
    <row r="54" spans="5:7" ht="8.25" customHeight="1">
      <c r="E54" s="19"/>
      <c r="F54" s="20"/>
      <c r="G54" s="20"/>
    </row>
    <row r="55" spans="2:7" ht="19.5" customHeight="1" thickBot="1">
      <c r="B55" s="5" t="s">
        <v>33</v>
      </c>
      <c r="E55" s="28">
        <f>SUM(E45:E54)</f>
        <v>1187265</v>
      </c>
      <c r="G55" s="28">
        <f>SUM(G45:G54)</f>
        <v>1163642</v>
      </c>
    </row>
    <row r="56" spans="5:7" ht="13.5" thickTop="1">
      <c r="E56" s="19"/>
      <c r="G56" s="19"/>
    </row>
    <row r="57" spans="5:7" ht="12.75">
      <c r="E57" s="19"/>
      <c r="G57" s="19"/>
    </row>
    <row r="58" spans="2:7" ht="12.75">
      <c r="B58" s="5" t="s">
        <v>34</v>
      </c>
      <c r="E58" s="24">
        <f>+ROUND(E45/E42,2)</f>
        <v>2.56</v>
      </c>
      <c r="G58" s="24">
        <f>+ROUND(G45/G42,2)</f>
        <v>2.52</v>
      </c>
    </row>
    <row r="59" ht="12.75">
      <c r="E59" s="9"/>
    </row>
    <row r="60" spans="5:7" ht="12.75">
      <c r="E60" s="25">
        <f>+E38-E55</f>
        <v>0</v>
      </c>
      <c r="G60" s="25">
        <f>+G38-G55</f>
        <v>0</v>
      </c>
    </row>
    <row r="61" ht="12.75">
      <c r="E61" s="9"/>
    </row>
    <row r="62" ht="12.75">
      <c r="E62" s="9"/>
    </row>
    <row r="63" ht="12.75">
      <c r="E63" s="9"/>
    </row>
    <row r="64" spans="3:5" ht="12.75">
      <c r="C64" s="2" t="s">
        <v>56</v>
      </c>
      <c r="E64" s="9"/>
    </row>
    <row r="65" spans="3:5" ht="12.75">
      <c r="C65" s="2" t="s">
        <v>134</v>
      </c>
      <c r="E65" s="9"/>
    </row>
  </sheetData>
  <printOptions/>
  <pageMargins left="0.25" right="0.25" top="0.25" bottom="0.25" header="0.5" footer="0.5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41"/>
  <sheetViews>
    <sheetView showGridLines="0" workbookViewId="0" topLeftCell="A1">
      <pane xSplit="2" ySplit="10" topLeftCell="C1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2" sqref="A32"/>
    </sheetView>
  </sheetViews>
  <sheetFormatPr defaultColWidth="9.140625" defaultRowHeight="12.75"/>
  <cols>
    <col min="1" max="1" width="9.140625" style="2" customWidth="1"/>
    <col min="2" max="2" width="38.57421875" style="2" customWidth="1"/>
    <col min="3" max="3" width="18.7109375" style="31" customWidth="1"/>
    <col min="4" max="4" width="2.7109375" style="31" customWidth="1"/>
    <col min="5" max="5" width="18.7109375" style="31" customWidth="1"/>
    <col min="6" max="6" width="2.7109375" style="31" customWidth="1"/>
    <col min="7" max="7" width="18.7109375" style="31" customWidth="1"/>
    <col min="8" max="8" width="3.7109375" style="2" customWidth="1"/>
    <col min="9" max="9" width="18.7109375" style="31" customWidth="1"/>
    <col min="10" max="10" width="2.7109375" style="31" customWidth="1"/>
    <col min="11" max="11" width="18.7109375" style="31" customWidth="1"/>
    <col min="12" max="16384" width="9.140625" style="2" customWidth="1"/>
  </cols>
  <sheetData>
    <row r="3" ht="12.75">
      <c r="B3" s="1" t="s">
        <v>0</v>
      </c>
    </row>
    <row r="5" ht="12.75">
      <c r="B5" s="1" t="s">
        <v>43</v>
      </c>
    </row>
    <row r="6" ht="12.75">
      <c r="B6" s="1" t="s">
        <v>78</v>
      </c>
    </row>
    <row r="8" spans="3:11" ht="12.75">
      <c r="C8" s="54" t="s">
        <v>44</v>
      </c>
      <c r="D8" s="54"/>
      <c r="E8" s="54" t="s">
        <v>47</v>
      </c>
      <c r="G8" s="54" t="s">
        <v>47</v>
      </c>
      <c r="I8" s="54" t="s">
        <v>50</v>
      </c>
      <c r="K8" s="54" t="s">
        <v>62</v>
      </c>
    </row>
    <row r="9" spans="2:11" ht="12.75">
      <c r="B9" s="29" t="s">
        <v>79</v>
      </c>
      <c r="C9" s="55" t="s">
        <v>45</v>
      </c>
      <c r="D9" s="54"/>
      <c r="E9" s="55" t="s">
        <v>48</v>
      </c>
      <c r="G9" s="55" t="s">
        <v>49</v>
      </c>
      <c r="I9" s="55" t="s">
        <v>51</v>
      </c>
      <c r="K9" s="55" t="s">
        <v>52</v>
      </c>
    </row>
    <row r="10" spans="2:11" ht="12.75">
      <c r="B10" s="30" t="s">
        <v>80</v>
      </c>
      <c r="C10" s="54" t="s">
        <v>46</v>
      </c>
      <c r="D10" s="54"/>
      <c r="E10" s="54" t="s">
        <v>46</v>
      </c>
      <c r="G10" s="54" t="s">
        <v>46</v>
      </c>
      <c r="I10" s="54" t="s">
        <v>46</v>
      </c>
      <c r="K10" s="54" t="s">
        <v>46</v>
      </c>
    </row>
    <row r="12" spans="2:11" ht="12.75">
      <c r="B12" s="2" t="s">
        <v>53</v>
      </c>
      <c r="C12" s="31">
        <f>268576837</f>
        <v>268576837</v>
      </c>
      <c r="E12" s="31">
        <f>176483525</f>
        <v>176483525</v>
      </c>
      <c r="G12" s="31">
        <f>403700</f>
        <v>403700</v>
      </c>
      <c r="I12" s="31">
        <v>232334569</v>
      </c>
      <c r="K12" s="31">
        <f>SUM(C12:I12)</f>
        <v>677798631</v>
      </c>
    </row>
    <row r="14" spans="2:11" ht="12.75">
      <c r="B14" s="2" t="s">
        <v>84</v>
      </c>
      <c r="C14" s="31">
        <v>0</v>
      </c>
      <c r="E14" s="31">
        <v>0</v>
      </c>
      <c r="G14" s="31">
        <v>0</v>
      </c>
      <c r="I14" s="31">
        <v>0</v>
      </c>
      <c r="K14" s="31">
        <f>SUM(C14:I14)</f>
        <v>0</v>
      </c>
    </row>
    <row r="16" spans="2:11" ht="12.75">
      <c r="B16" s="2" t="s">
        <v>85</v>
      </c>
      <c r="C16" s="33">
        <v>0</v>
      </c>
      <c r="E16" s="33">
        <v>0</v>
      </c>
      <c r="G16" s="33">
        <v>0</v>
      </c>
      <c r="I16" s="33">
        <v>8998514</v>
      </c>
      <c r="K16" s="33">
        <f>SUM(C16:I16)</f>
        <v>8998514</v>
      </c>
    </row>
    <row r="17" spans="3:11" ht="12.75">
      <c r="C17" s="31">
        <f>SUM(C12:C16)</f>
        <v>268576837</v>
      </c>
      <c r="E17" s="31">
        <f>SUM(E12:E16)</f>
        <v>176483525</v>
      </c>
      <c r="G17" s="31">
        <f>SUM(G12:G16)</f>
        <v>403700</v>
      </c>
      <c r="I17" s="31">
        <f>SUM(I12:I16)</f>
        <v>241333083</v>
      </c>
      <c r="K17" s="31">
        <f>SUM(K12:K16)</f>
        <v>686797145</v>
      </c>
    </row>
    <row r="19" spans="2:11" ht="12.75">
      <c r="B19" s="2" t="s">
        <v>58</v>
      </c>
      <c r="C19" s="31">
        <v>0</v>
      </c>
      <c r="E19" s="31">
        <v>0</v>
      </c>
      <c r="G19" s="31">
        <v>0</v>
      </c>
      <c r="I19" s="31">
        <v>0</v>
      </c>
      <c r="K19" s="31">
        <f>SUM(C19:I19)</f>
        <v>0</v>
      </c>
    </row>
    <row r="21" spans="2:11" ht="12.75">
      <c r="B21" s="2" t="s">
        <v>86</v>
      </c>
      <c r="C21" s="56">
        <f>SUM(C17:C19)</f>
        <v>268576837</v>
      </c>
      <c r="E21" s="56">
        <f>SUM(E17:E19)</f>
        <v>176483525</v>
      </c>
      <c r="G21" s="56">
        <f>SUM(G17:G19)</f>
        <v>403700</v>
      </c>
      <c r="I21" s="56">
        <f>SUM(I17:I19)</f>
        <v>241333083</v>
      </c>
      <c r="K21" s="56">
        <f>SUM(K17:K19)</f>
        <v>686797145</v>
      </c>
    </row>
    <row r="22" ht="12.75">
      <c r="K22" s="31">
        <f>+K21/1000-B_Sheet!E45</f>
        <v>0.14500000001862645</v>
      </c>
    </row>
    <row r="24" ht="12.75">
      <c r="B24" s="29" t="s">
        <v>79</v>
      </c>
    </row>
    <row r="25" ht="12.75">
      <c r="B25" s="30" t="s">
        <v>81</v>
      </c>
    </row>
    <row r="27" spans="2:11" ht="12.75">
      <c r="B27" s="2" t="s">
        <v>53</v>
      </c>
      <c r="C27" s="31">
        <f>268576837</f>
        <v>268576837</v>
      </c>
      <c r="E27" s="31">
        <f>158597865+15890637+1214333</f>
        <v>175702835</v>
      </c>
      <c r="G27" s="31">
        <f>403700</f>
        <v>403700</v>
      </c>
      <c r="I27" s="31">
        <f>197325679</f>
        <v>197325679</v>
      </c>
      <c r="K27" s="31">
        <f>SUM(C27:I27)</f>
        <v>642009051</v>
      </c>
    </row>
    <row r="29" spans="2:11" ht="12.75">
      <c r="B29" s="2" t="s">
        <v>83</v>
      </c>
      <c r="C29" s="31">
        <v>0</v>
      </c>
      <c r="E29" s="31">
        <f>17620.72</f>
        <v>17620.72</v>
      </c>
      <c r="G29" s="31">
        <v>0</v>
      </c>
      <c r="I29" s="31">
        <f>4731271.91</f>
        <v>4731271.91</v>
      </c>
      <c r="K29" s="31">
        <f>SUM(C29:I29)</f>
        <v>4748892.63</v>
      </c>
    </row>
    <row r="31" spans="2:11" ht="12.75">
      <c r="B31" s="2" t="s">
        <v>86</v>
      </c>
      <c r="C31" s="56">
        <f>SUM(C27:C30)</f>
        <v>268576837</v>
      </c>
      <c r="E31" s="56">
        <f>SUM(E27:E30)</f>
        <v>175720455.72</v>
      </c>
      <c r="G31" s="56">
        <f>SUM(G27:G30)</f>
        <v>403700</v>
      </c>
      <c r="I31" s="56">
        <f>SUM(I27:I30)</f>
        <v>202056950.91</v>
      </c>
      <c r="K31" s="56">
        <f>SUM(K27:K30)</f>
        <v>646757943.63</v>
      </c>
    </row>
    <row r="32" spans="3:11" ht="12.75">
      <c r="C32" s="31">
        <v>0</v>
      </c>
      <c r="E32" s="31">
        <v>0</v>
      </c>
      <c r="G32" s="31">
        <v>0</v>
      </c>
      <c r="I32" s="31">
        <v>0</v>
      </c>
      <c r="K32" s="31">
        <v>0</v>
      </c>
    </row>
    <row r="40" ht="12.75">
      <c r="C40" s="2" t="s">
        <v>57</v>
      </c>
    </row>
    <row r="41" ht="12.75">
      <c r="C41" s="2" t="s">
        <v>75</v>
      </c>
    </row>
  </sheetData>
  <printOptions/>
  <pageMargins left="0.25" right="0.25" top="0.25" bottom="0.25" header="0.5" footer="0.5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4"/>
  <sheetViews>
    <sheetView tabSelected="1" zoomScale="75" zoomScaleNormal="75" workbookViewId="0" topLeftCell="A1">
      <selection activeCell="D3" sqref="D3"/>
    </sheetView>
  </sheetViews>
  <sheetFormatPr defaultColWidth="9.140625" defaultRowHeight="12.75"/>
  <cols>
    <col min="1" max="1" width="1.7109375" style="63" customWidth="1"/>
    <col min="2" max="2" width="1.7109375" style="64" customWidth="1"/>
    <col min="3" max="3" width="1.7109375" style="63" customWidth="1"/>
    <col min="4" max="4" width="75.7109375" style="63" customWidth="1"/>
    <col min="5" max="5" width="18.7109375" style="65" customWidth="1"/>
    <col min="6" max="6" width="6.7109375" style="73" customWidth="1"/>
    <col min="7" max="11" width="15.7109375" style="73" customWidth="1"/>
    <col min="12" max="16384" width="9.140625" style="63" customWidth="1"/>
  </cols>
  <sheetData>
    <row r="1" ht="15.75">
      <c r="B1" s="64" t="s">
        <v>87</v>
      </c>
    </row>
    <row r="3" ht="15.75">
      <c r="B3" s="64" t="s">
        <v>88</v>
      </c>
    </row>
    <row r="4" ht="15.75">
      <c r="B4" s="66" t="s">
        <v>137</v>
      </c>
    </row>
    <row r="6" spans="2:11" s="67" customFormat="1" ht="15.75">
      <c r="B6" s="68"/>
      <c r="E6" s="67" t="s">
        <v>89</v>
      </c>
      <c r="F6" s="75"/>
      <c r="G6" s="75"/>
      <c r="H6" s="75"/>
      <c r="I6" s="75"/>
      <c r="J6" s="75"/>
      <c r="K6" s="75"/>
    </row>
    <row r="7" spans="2:11" s="67" customFormat="1" ht="15.75">
      <c r="B7" s="68"/>
      <c r="E7" s="69" t="s">
        <v>133</v>
      </c>
      <c r="F7" s="75"/>
      <c r="G7" s="75"/>
      <c r="H7" s="75"/>
      <c r="I7" s="75"/>
      <c r="J7" s="75"/>
      <c r="K7" s="75"/>
    </row>
    <row r="8" spans="2:11" s="67" customFormat="1" ht="15.75">
      <c r="B8" s="68"/>
      <c r="E8" s="67" t="s">
        <v>18</v>
      </c>
      <c r="F8" s="75"/>
      <c r="G8" s="75"/>
      <c r="H8" s="75"/>
      <c r="I8" s="75"/>
      <c r="J8" s="75"/>
      <c r="K8" s="75"/>
    </row>
    <row r="10" ht="15.75">
      <c r="B10" s="64" t="s">
        <v>90</v>
      </c>
    </row>
    <row r="11" spans="3:5" ht="15.75">
      <c r="C11" s="63" t="s">
        <v>10</v>
      </c>
      <c r="E11" s="65">
        <f>14752</f>
        <v>14752</v>
      </c>
    </row>
    <row r="12" ht="15.75">
      <c r="C12" s="63" t="s">
        <v>91</v>
      </c>
    </row>
    <row r="13" spans="4:5" ht="15.75">
      <c r="D13" s="63" t="s">
        <v>92</v>
      </c>
      <c r="E13" s="65">
        <f>962</f>
        <v>962</v>
      </c>
    </row>
    <row r="14" spans="4:5" ht="15.75">
      <c r="D14" s="63" t="s">
        <v>93</v>
      </c>
      <c r="E14" s="65">
        <f>1686</f>
        <v>1686</v>
      </c>
    </row>
    <row r="15" spans="4:5" ht="15.75">
      <c r="D15" s="63" t="s">
        <v>94</v>
      </c>
      <c r="E15" s="65">
        <f>594</f>
        <v>594</v>
      </c>
    </row>
    <row r="16" spans="4:5" ht="15.75">
      <c r="D16" s="63" t="s">
        <v>95</v>
      </c>
      <c r="E16" s="65">
        <f>-390</f>
        <v>-390</v>
      </c>
    </row>
    <row r="17" spans="4:5" ht="15.75">
      <c r="D17" s="63" t="s">
        <v>136</v>
      </c>
      <c r="E17" s="65">
        <v>-271</v>
      </c>
    </row>
    <row r="18" spans="4:5" ht="15.75">
      <c r="D18" s="63" t="s">
        <v>135</v>
      </c>
      <c r="E18" s="65">
        <f>11</f>
        <v>11</v>
      </c>
    </row>
    <row r="19" spans="4:5" ht="15.75">
      <c r="D19" s="63" t="s">
        <v>96</v>
      </c>
      <c r="E19" s="65">
        <f>3225</f>
        <v>3225</v>
      </c>
    </row>
    <row r="20" spans="4:5" ht="15.75">
      <c r="D20" s="63" t="s">
        <v>59</v>
      </c>
      <c r="E20" s="65">
        <f>-2028</f>
        <v>-2028</v>
      </c>
    </row>
    <row r="21" spans="4:5" ht="15.75">
      <c r="D21" s="63" t="s">
        <v>97</v>
      </c>
      <c r="E21" s="70">
        <f>-113</f>
        <v>-113</v>
      </c>
    </row>
    <row r="22" spans="3:5" ht="15.75">
      <c r="C22" s="63" t="s">
        <v>98</v>
      </c>
      <c r="E22" s="65">
        <f>SUM(E10:E21)</f>
        <v>18428</v>
      </c>
    </row>
    <row r="23" spans="4:5" ht="15.75">
      <c r="D23" s="63" t="s">
        <v>99</v>
      </c>
      <c r="E23" s="65">
        <v>-14</v>
      </c>
    </row>
    <row r="24" spans="4:5" ht="15.75">
      <c r="D24" s="63" t="s">
        <v>100</v>
      </c>
      <c r="E24" s="65">
        <f>-89525</f>
        <v>-89525</v>
      </c>
    </row>
    <row r="25" spans="4:5" ht="15.75">
      <c r="D25" s="63" t="s">
        <v>64</v>
      </c>
      <c r="E25" s="71">
        <f>119795</f>
        <v>119795</v>
      </c>
    </row>
    <row r="26" spans="4:5" ht="15.75">
      <c r="D26" s="63" t="s">
        <v>65</v>
      </c>
      <c r="E26" s="70">
        <f>38564</f>
        <v>38564</v>
      </c>
    </row>
    <row r="27" spans="3:5" ht="15.75">
      <c r="C27" s="63" t="s">
        <v>101</v>
      </c>
      <c r="E27" s="65">
        <f>SUM(E22:E26)</f>
        <v>87248</v>
      </c>
    </row>
    <row r="28" spans="4:5" ht="15.75">
      <c r="D28" s="63" t="s">
        <v>138</v>
      </c>
      <c r="E28" s="65">
        <f>-776</f>
        <v>-776</v>
      </c>
    </row>
    <row r="29" spans="4:5" ht="15.75">
      <c r="D29" s="63" t="s">
        <v>102</v>
      </c>
      <c r="E29" s="65">
        <f>-3225</f>
        <v>-3225</v>
      </c>
    </row>
    <row r="30" spans="4:5" ht="15.75">
      <c r="D30" s="63" t="s">
        <v>103</v>
      </c>
      <c r="E30" s="65">
        <f>2028</f>
        <v>2028</v>
      </c>
    </row>
    <row r="31" spans="3:5" ht="15.75">
      <c r="C31" s="63" t="s">
        <v>104</v>
      </c>
      <c r="E31" s="72">
        <f>SUM(E27:E30)</f>
        <v>85275</v>
      </c>
    </row>
    <row r="33" ht="15.75">
      <c r="B33" s="64" t="s">
        <v>105</v>
      </c>
    </row>
    <row r="34" spans="4:5" ht="15.75">
      <c r="D34" s="63" t="s">
        <v>106</v>
      </c>
      <c r="E34" s="65">
        <f>-79</f>
        <v>-79</v>
      </c>
    </row>
    <row r="35" spans="4:5" ht="15.75">
      <c r="D35" s="63" t="s">
        <v>107</v>
      </c>
      <c r="E35" s="65">
        <f>-386</f>
        <v>-386</v>
      </c>
    </row>
    <row r="36" spans="4:5" ht="15.75">
      <c r="D36" s="63" t="s">
        <v>108</v>
      </c>
      <c r="E36" s="65">
        <f>22</f>
        <v>22</v>
      </c>
    </row>
    <row r="37" spans="4:5" ht="15.75">
      <c r="D37" s="63" t="s">
        <v>109</v>
      </c>
      <c r="E37" s="65">
        <v>805</v>
      </c>
    </row>
    <row r="38" spans="3:5" ht="15.75">
      <c r="C38" s="63" t="s">
        <v>110</v>
      </c>
      <c r="E38" s="72">
        <f>SUM(E33:E37)</f>
        <v>362</v>
      </c>
    </row>
    <row r="40" ht="15.75">
      <c r="B40" s="64" t="s">
        <v>111</v>
      </c>
    </row>
    <row r="41" spans="4:5" ht="15.75">
      <c r="D41" s="63" t="s">
        <v>112</v>
      </c>
      <c r="E41" s="65">
        <f>-66620</f>
        <v>-66620</v>
      </c>
    </row>
    <row r="42" spans="4:5" ht="15.75">
      <c r="D42" s="63" t="s">
        <v>113</v>
      </c>
      <c r="E42" s="65">
        <f>3000</f>
        <v>3000</v>
      </c>
    </row>
    <row r="43" spans="4:5" ht="15.75">
      <c r="D43" s="63" t="s">
        <v>114</v>
      </c>
      <c r="E43" s="65">
        <f>-3224</f>
        <v>-3224</v>
      </c>
    </row>
    <row r="44" spans="4:5" ht="15.75">
      <c r="D44" s="63" t="s">
        <v>115</v>
      </c>
      <c r="E44" s="65">
        <f>-10386</f>
        <v>-10386</v>
      </c>
    </row>
    <row r="45" spans="4:5" ht="15.75">
      <c r="D45" s="63" t="s">
        <v>116</v>
      </c>
      <c r="E45" s="65">
        <f>-500</f>
        <v>-500</v>
      </c>
    </row>
    <row r="46" spans="4:5" ht="15.75">
      <c r="D46" s="63" t="s">
        <v>117</v>
      </c>
      <c r="E46" s="65">
        <f>-3766</f>
        <v>-3766</v>
      </c>
    </row>
    <row r="47" spans="4:5" ht="15.75">
      <c r="D47" s="63" t="s">
        <v>118</v>
      </c>
      <c r="E47" s="65">
        <f>-78</f>
        <v>-78</v>
      </c>
    </row>
    <row r="48" spans="3:5" ht="15.75">
      <c r="C48" s="63" t="s">
        <v>110</v>
      </c>
      <c r="E48" s="72">
        <f>SUM(E40:E47)</f>
        <v>-81574</v>
      </c>
    </row>
    <row r="49" ht="15.75">
      <c r="E49" s="71"/>
    </row>
    <row r="51" spans="2:5" ht="15.75">
      <c r="B51" s="64" t="s">
        <v>119</v>
      </c>
      <c r="E51" s="65">
        <f>+E31+E38+E48</f>
        <v>4063</v>
      </c>
    </row>
    <row r="52" spans="2:5" ht="15.75">
      <c r="B52" s="64" t="s">
        <v>120</v>
      </c>
      <c r="E52" s="65">
        <f>-32370</f>
        <v>-32370</v>
      </c>
    </row>
    <row r="53" spans="2:5" ht="15.75">
      <c r="B53" s="64" t="s">
        <v>121</v>
      </c>
      <c r="E53" s="72">
        <f>SUM(E51:E52)</f>
        <v>-28307</v>
      </c>
    </row>
    <row r="56" ht="15.75">
      <c r="B56" s="64" t="s">
        <v>122</v>
      </c>
    </row>
    <row r="57" ht="15.75">
      <c r="C57" s="63" t="s">
        <v>123</v>
      </c>
    </row>
    <row r="58" spans="4:5" ht="15.75">
      <c r="D58" s="63" t="s">
        <v>124</v>
      </c>
      <c r="E58" s="65">
        <f>14881</f>
        <v>14881</v>
      </c>
    </row>
    <row r="59" spans="4:5" ht="15.75">
      <c r="D59" s="63" t="s">
        <v>125</v>
      </c>
      <c r="E59" s="70">
        <f>233261</f>
        <v>233261</v>
      </c>
    </row>
    <row r="60" ht="15.75">
      <c r="E60" s="65">
        <f>SUM(E56:E59)</f>
        <v>248142</v>
      </c>
    </row>
    <row r="61" spans="4:5" ht="15.75">
      <c r="D61" s="63" t="s">
        <v>126</v>
      </c>
      <c r="E61" s="65">
        <f>-232280</f>
        <v>-232280</v>
      </c>
    </row>
    <row r="62" spans="4:5" ht="15.75">
      <c r="D62" s="63" t="s">
        <v>127</v>
      </c>
      <c r="E62" s="65">
        <f>-48232</f>
        <v>-48232</v>
      </c>
    </row>
    <row r="63" ht="15.75">
      <c r="E63" s="72">
        <f>SUM(E60:E62)</f>
        <v>-32370</v>
      </c>
    </row>
    <row r="64" ht="15.75">
      <c r="E64" s="65">
        <f>+E63-E52</f>
        <v>0</v>
      </c>
    </row>
    <row r="66" ht="15.75">
      <c r="C66" s="63" t="s">
        <v>128</v>
      </c>
    </row>
    <row r="67" spans="4:5" ht="15.75">
      <c r="D67" s="63" t="s">
        <v>124</v>
      </c>
      <c r="E67" s="65">
        <f>15998</f>
        <v>15998</v>
      </c>
    </row>
    <row r="68" spans="4:5" ht="15.75">
      <c r="D68" s="63" t="s">
        <v>125</v>
      </c>
      <c r="E68" s="70">
        <f>299507</f>
        <v>299507</v>
      </c>
    </row>
    <row r="69" ht="15.75">
      <c r="E69" s="65">
        <f>SUM(E67:E68)</f>
        <v>315505</v>
      </c>
    </row>
    <row r="70" spans="4:5" ht="15.75">
      <c r="D70" s="63" t="s">
        <v>126</v>
      </c>
      <c r="E70" s="65">
        <f>-298888-12</f>
        <v>-298900</v>
      </c>
    </row>
    <row r="71" spans="4:5" ht="15.75">
      <c r="D71" s="63" t="s">
        <v>127</v>
      </c>
      <c r="E71" s="65">
        <f>-44912</f>
        <v>-44912</v>
      </c>
    </row>
    <row r="72" ht="15.75">
      <c r="E72" s="72">
        <f>SUM(E69:E71)</f>
        <v>-28307</v>
      </c>
    </row>
    <row r="73" ht="15.75">
      <c r="E73" s="65">
        <f>+E72-E53</f>
        <v>0</v>
      </c>
    </row>
    <row r="75" spans="4:5" ht="15.75">
      <c r="D75" s="63" t="s">
        <v>129</v>
      </c>
      <c r="E75" s="74" t="s">
        <v>130</v>
      </c>
    </row>
    <row r="76" spans="4:5" ht="15.75">
      <c r="D76" s="63" t="s">
        <v>131</v>
      </c>
      <c r="E76" s="65">
        <v>79</v>
      </c>
    </row>
    <row r="77" spans="4:5" ht="15.75">
      <c r="D77" s="63" t="s">
        <v>132</v>
      </c>
      <c r="E77" s="65">
        <v>0</v>
      </c>
    </row>
    <row r="78" ht="15.75">
      <c r="E78" s="72">
        <f>SUM(E76:E77)</f>
        <v>79</v>
      </c>
    </row>
    <row r="81" ht="15.75">
      <c r="E81" s="63"/>
    </row>
    <row r="82" ht="15.75">
      <c r="E82" s="63"/>
    </row>
    <row r="83" ht="15.75">
      <c r="E83" s="63"/>
    </row>
    <row r="84" ht="15.75">
      <c r="E84" s="63"/>
    </row>
  </sheetData>
  <printOptions/>
  <pageMargins left="0.75" right="0.75" top="1" bottom="1" header="0.5" footer="0.5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Talam Corporation Bhd</dc:creator>
  <cp:keywords/>
  <dc:description/>
  <cp:lastModifiedBy>Carol</cp:lastModifiedBy>
  <cp:lastPrinted>2003-08-26T10:23:25Z</cp:lastPrinted>
  <dcterms:created xsi:type="dcterms:W3CDTF">2002-09-02T02:04:49Z</dcterms:created>
  <dcterms:modified xsi:type="dcterms:W3CDTF">2003-08-27T02:31:40Z</dcterms:modified>
  <cp:category/>
  <cp:version/>
  <cp:contentType/>
  <cp:contentStatus/>
</cp:coreProperties>
</file>