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770" activeTab="3"/>
  </bookViews>
  <sheets>
    <sheet name="BS" sheetId="1" r:id="rId1"/>
    <sheet name="S.Equity" sheetId="2" r:id="rId2"/>
    <sheet name="CFS" sheetId="3" r:id="rId3"/>
    <sheet name="P&amp;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2">'CFS'!$A$1:$L$77</definedName>
    <definedName name="_xlnm.Print_Area" localSheetId="3">'P&amp;L'!$A$2:$J$95</definedName>
    <definedName name="_xlnm.Print_Area" localSheetId="1">'S.Equity'!$A$1:$M$54</definedName>
    <definedName name="_xlnm.Print_Titles" localSheetId="3">'P&amp;L'!$20:$25</definedName>
  </definedNames>
  <calcPr fullCalcOnLoad="1"/>
</workbook>
</file>

<file path=xl/sharedStrings.xml><?xml version="1.0" encoding="utf-8"?>
<sst xmlns="http://schemas.openxmlformats.org/spreadsheetml/2006/main" count="248" uniqueCount="202">
  <si>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</si>
  <si>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</si>
  <si>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</si>
  <si>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</si>
  <si>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</si>
  <si>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</si>
  <si>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</si>
  <si>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</si>
  <si>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</si>
  <si>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</si>
  <si>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</si>
  <si>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</si>
  <si>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</si>
  <si>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</si>
  <si>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</si>
  <si>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</si>
  <si>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</si>
  <si>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</si>
  <si>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</si>
  <si>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</si>
  <si>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</si>
  <si>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</si>
  <si>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</si>
  <si>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</si>
  <si>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</si>
  <si>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</si>
  <si>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</si>
  <si>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</si>
  <si>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</si>
  <si>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</si>
  <si>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</si>
  <si>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</si>
  <si>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</si>
  <si>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</si>
  <si>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</si>
  <si>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</si>
  <si>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</si>
  <si>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</si>
  <si>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</si>
  <si>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</si>
  <si>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</si>
  <si>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</si>
  <si>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</si>
  <si>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</si>
  <si>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</si>
  <si>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</si>
  <si>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</si>
  <si>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</si>
  <si>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Changes in working capital :</t>
  </si>
  <si>
    <t>Net changes in current assets</t>
  </si>
  <si>
    <t>Net changes in current liabilities</t>
  </si>
  <si>
    <t>Tax paid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</si>
  <si>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</si>
  <si>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</si>
  <si>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</si>
  <si>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</si>
  <si>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</si>
  <si>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</si>
  <si>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</si>
  <si>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</si>
  <si>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</si>
  <si>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</si>
  <si>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</si>
  <si>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</si>
  <si>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</si>
  <si>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</si>
  <si>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</si>
  <si>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</si>
  <si>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</si>
  <si>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</si>
  <si>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</si>
  <si>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</si>
  <si>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</si>
  <si>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</si>
  <si>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</si>
  <si>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</si>
  <si>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</si>
  <si>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</si>
  <si>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</si>
  <si>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Tax payables</t>
  </si>
  <si>
    <t>Loan drawdown</t>
  </si>
  <si>
    <t>Purchase of investment properties</t>
  </si>
  <si>
    <t xml:space="preserve">Quarter ended </t>
  </si>
  <si>
    <t>Repayment of loans and bank borrowings</t>
  </si>
  <si>
    <t>Repayment of finance payables</t>
  </si>
  <si>
    <t>As at 1 July 2005</t>
  </si>
  <si>
    <t>corresponding</t>
  </si>
  <si>
    <t>Net cash (used in)/generated from investing activities</t>
  </si>
  <si>
    <t>Net assets per share (RM)</t>
  </si>
  <si>
    <t xml:space="preserve"> disclosed as a distribution of equity in the Statement of Changes in Equity.</t>
  </si>
  <si>
    <t>Overdrafts</t>
  </si>
  <si>
    <t>Fixed deposits pledged</t>
  </si>
  <si>
    <t xml:space="preserve">  investment</t>
  </si>
  <si>
    <t>30/06/2006</t>
  </si>
  <si>
    <t>Land and development expenditure</t>
  </si>
  <si>
    <t xml:space="preserve">Profit/(Loss) from Operations </t>
  </si>
  <si>
    <t xml:space="preserve">(Provision for)/Reversal of diminution in value of quoted </t>
  </si>
  <si>
    <t xml:space="preserve">  marketable securities</t>
  </si>
  <si>
    <t>Gain/(Loss) arising from disposal of quoted securities</t>
  </si>
  <si>
    <t>Unrealised exchange gain/(loss) on translation of long term</t>
  </si>
  <si>
    <t xml:space="preserve"> company</t>
  </si>
  <si>
    <t>UNAUDITED FINANCIAL REPORT  FOR THE PERIOD ENDED 30 SEPTEMBER 2006.</t>
  </si>
  <si>
    <t>30/09/2006</t>
  </si>
  <si>
    <t>ASSETS</t>
  </si>
  <si>
    <t>Non-current Assets</t>
  </si>
  <si>
    <t xml:space="preserve">                Land held for development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</si>
  <si>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</si>
  <si>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</si>
  <si>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</si>
  <si>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</si>
  <si>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</si>
  <si>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 xml:space="preserve">                 Reserves</t>
  </si>
  <si>
    <t xml:space="preserve">                 8% Irredeemable Convertible Unsecured</t>
  </si>
  <si>
    <t xml:space="preserve">                 Loan Stocks 1999/2009</t>
  </si>
  <si>
    <t>TOTAL LIABILITIES</t>
  </si>
  <si>
    <t>TOTAL EQUITY AND LIABILITIES</t>
  </si>
  <si>
    <t>UNAUDITED FINANCIAL REPORT FOR THE PERIOD ENDED 30 SEPTEMBER 2006.</t>
  </si>
  <si>
    <t>CONDENSED CONSOLIDATED STATEMENTS OF CHANGES IN EQUITY FOR THE PERIOD ENDED 30 SEPTEMBER 2006.</t>
  </si>
  <si>
    <t>3 months ended 30 September 2006</t>
  </si>
  <si>
    <t>3 months ended 30 September 2005</t>
  </si>
  <si>
    <t>As at 1 July 2006</t>
  </si>
  <si>
    <t>Net profit for the period</t>
  </si>
  <si>
    <t>Balance as at 30 September 2006</t>
  </si>
  <si>
    <t xml:space="preserve">                            &lt; --------------------------------- Attributable to Equity Holders of the Parent --------------------------------------- &gt;</t>
  </si>
  <si>
    <t>Minority</t>
  </si>
  <si>
    <t xml:space="preserve">Total </t>
  </si>
  <si>
    <t>Balance as at 30 September 2005</t>
  </si>
  <si>
    <t>Attributable to :</t>
  </si>
  <si>
    <t>30/9/2006</t>
  </si>
  <si>
    <t>30/9/2005</t>
  </si>
  <si>
    <t>Period ended</t>
  </si>
  <si>
    <t>Earnings per share (in sen)</t>
  </si>
  <si>
    <t>CONDENSED CONSOLIDATED CASH FLOW STATEMENTS FOR THE PERIOD ENDED 30 SEPTEMBER 2006.</t>
  </si>
  <si>
    <t>Current period</t>
  </si>
  <si>
    <t>period ended</t>
  </si>
  <si>
    <t>30/09/2005</t>
  </si>
  <si>
    <t>Net cash generated from financing activities</t>
  </si>
  <si>
    <t>Cash and cash equivalents at beginning of the period</t>
  </si>
  <si>
    <t>Cash and cash equivalents at end of the period</t>
  </si>
  <si>
    <t xml:space="preserve">Share of profit and losses of </t>
  </si>
  <si>
    <t xml:space="preserve"> associates</t>
  </si>
  <si>
    <t xml:space="preserve">                 Accumulated losses</t>
  </si>
  <si>
    <t>Cash generated from/(used in) operations</t>
  </si>
  <si>
    <t>Net cash generated from/(used in) operating activities</t>
  </si>
  <si>
    <t>Net increase in cash and cash equivalents</t>
  </si>
  <si>
    <t>Effect of disposal of equity interest</t>
  </si>
  <si>
    <t xml:space="preserve"> in a subsidiary company</t>
  </si>
  <si>
    <t xml:space="preserve">Effect of acquisition of a new subsidiary </t>
  </si>
  <si>
    <t>Proceeds received from disposal of equity interest in a subsidiary</t>
  </si>
  <si>
    <t>(see Note 3)</t>
  </si>
  <si>
    <t>Note 3</t>
  </si>
  <si>
    <t xml:space="preserve">                          Company No. 4081-M</t>
  </si>
  <si>
    <t xml:space="preserve">                             INSAS BERHAD </t>
  </si>
  <si>
    <t xml:space="preserve">                           (Incorporated in Malaysia)</t>
  </si>
  <si>
    <t xml:space="preserve">                Property, plant and equipment</t>
  </si>
  <si>
    <t xml:space="preserve">                Investment in associate companies</t>
  </si>
  <si>
    <t xml:space="preserve">                Long term investments</t>
  </si>
  <si>
    <t xml:space="preserve">                Intangible assets</t>
  </si>
  <si>
    <t xml:space="preserve">                Investment properties</t>
  </si>
  <si>
    <t xml:space="preserve">                Deferred tax assets</t>
  </si>
  <si>
    <t xml:space="preserve">                 Share capital</t>
  </si>
  <si>
    <t xml:space="preserve">                 Finance payables</t>
  </si>
  <si>
    <t>Cost of sales</t>
  </si>
  <si>
    <t>Administrative expenses</t>
  </si>
  <si>
    <t>Other operating expenses</t>
  </si>
  <si>
    <t>Other operating income</t>
  </si>
  <si>
    <t>Exceptional item</t>
  </si>
  <si>
    <t>Profit before tax</t>
  </si>
  <si>
    <t>Profit for the period</t>
  </si>
  <si>
    <t>Equity holders of the parent</t>
  </si>
  <si>
    <t>Minority interests</t>
  </si>
  <si>
    <t>The Finance costs exclude the 8% Irredeemable Convertible Unsecured Loan Stock ("ICULS") interest for the period ended 30 September 2006 of RM2,092,000</t>
  </si>
  <si>
    <t>Exceptional item represents:</t>
  </si>
  <si>
    <t>Included in Profit before tax are the following items :-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</si>
  <si>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</si>
  <si>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</si>
  <si>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</si>
  <si>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</si>
  <si>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audited financial statements for the year ended 30 June 2006 and the accompanying</t>
  </si>
  <si>
    <t xml:space="preserve"> (2005 : RM2,092,000).  In accordance with the provisions of FRS 132 : Financial Instruments : Disclosure and Presentation, the ICULS interest of RM2,092,000 is</t>
  </si>
  <si>
    <t xml:space="preserve">Reversal of provision for diminution in value of </t>
  </si>
  <si>
    <t xml:space="preserve">  quoted securities held for long term</t>
  </si>
  <si>
    <t xml:space="preserve">                 Deferred tax liabilities</t>
  </si>
  <si>
    <t>Other payables and accruals</t>
  </si>
  <si>
    <t xml:space="preserve">(The Condensed Consolidated Balance Sheets should be read in conjuction with the audited financial </t>
  </si>
  <si>
    <t>statements for the year ended 30 June 2006 and the accompanying explanatory notes attached</t>
  </si>
  <si>
    <t>to the Interim Financial Statements)</t>
  </si>
  <si>
    <t xml:space="preserve">(The Condensed Consolidated Income Statements should be read in conjunction with the audited financial statements for the year </t>
  </si>
  <si>
    <t>ended 30 June 2006 and the accompanying explanatory notes attached to the Interim Financial Statements)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</si>
  <si>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</si>
  <si>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</si>
  <si>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</si>
  <si>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</si>
  <si>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</si>
  <si>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</si>
  <si>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</si>
  <si>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</si>
  <si>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</si>
  <si>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(The Condensed Consolidated Statements of Changes in Equity should be read in conjunction with the audited financial statements for the year ended</t>
  </si>
  <si>
    <t>30 June 2006 and the accompanying explanatory notes attached to the Interim Financial Statements)</t>
  </si>
  <si>
    <t>Net cash used in acquisition of equity interest in a subsidiary company</t>
  </si>
  <si>
    <t>explanatory notes attached to the Interim Financial Statements)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</si>
</sst>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166" fontId="0" fillId="0" borderId="10" xfId="0" applyNumberFormat="1" applyBorder="1" applyAlignment="1">
      <alignment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166" fontId="0" fillId="0" borderId="1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left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0905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0606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906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ps09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9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o0906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113">
          <cell r="U113">
            <v>103768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MINORITY.XLS"/>
    </sheetNames>
    <sheetDataSet>
      <sheetData sheetId="9">
        <row r="88">
          <cell r="U88">
            <v>-5713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SUMMA notes"/>
      <sheetName val="Goodwill"/>
      <sheetName val="MINORITY.XLS"/>
    </sheetNames>
    <sheetDataSet>
      <sheetData sheetId="9">
        <row r="10">
          <cell r="U10">
            <v>55875.651011654496</v>
          </cell>
        </row>
        <row r="15">
          <cell r="U15">
            <v>17612.10593793113</v>
          </cell>
        </row>
        <row r="18">
          <cell r="U18">
            <v>98984.32909</v>
          </cell>
        </row>
        <row r="20">
          <cell r="U20">
            <v>25640</v>
          </cell>
        </row>
        <row r="22">
          <cell r="U22">
            <v>37576</v>
          </cell>
        </row>
        <row r="24">
          <cell r="U24">
            <v>40047.225</v>
          </cell>
        </row>
        <row r="26">
          <cell r="U26">
            <v>3109.504228078504</v>
          </cell>
        </row>
        <row r="29">
          <cell r="U29">
            <v>8967.8</v>
          </cell>
        </row>
        <row r="31">
          <cell r="U31">
            <v>33483.245500000005</v>
          </cell>
        </row>
        <row r="32">
          <cell r="U32">
            <v>243929.90311776</v>
          </cell>
        </row>
        <row r="33">
          <cell r="U33">
            <v>23746.389797046148</v>
          </cell>
        </row>
        <row r="36">
          <cell r="U36">
            <v>19152.6819</v>
          </cell>
        </row>
        <row r="37">
          <cell r="U37">
            <v>9650.9089358</v>
          </cell>
        </row>
        <row r="49">
          <cell r="U49">
            <v>-2373.08</v>
          </cell>
        </row>
        <row r="50">
          <cell r="U50">
            <v>31107.637569812</v>
          </cell>
        </row>
        <row r="51">
          <cell r="U51">
            <v>204516.2421486025</v>
          </cell>
        </row>
        <row r="52">
          <cell r="U52">
            <v>56127.139090000004</v>
          </cell>
        </row>
        <row r="53">
          <cell r="U53">
            <v>18614.325872972</v>
          </cell>
        </row>
        <row r="58">
          <cell r="U58">
            <v>169177.7124580945</v>
          </cell>
        </row>
        <row r="59">
          <cell r="U59">
            <v>24084.017714670503</v>
          </cell>
        </row>
        <row r="60">
          <cell r="U60">
            <v>1798</v>
          </cell>
        </row>
        <row r="64">
          <cell r="U64">
            <v>630.4507060650001</v>
          </cell>
        </row>
        <row r="67">
          <cell r="U67">
            <v>12583.666000000001</v>
          </cell>
        </row>
        <row r="69">
          <cell r="U69">
            <v>2911.318</v>
          </cell>
        </row>
        <row r="75">
          <cell r="U75">
            <v>200.87684000000002</v>
          </cell>
        </row>
        <row r="80">
          <cell r="U80">
            <v>618966.2163726198</v>
          </cell>
        </row>
        <row r="84">
          <cell r="U84">
            <v>66393.57</v>
          </cell>
        </row>
        <row r="87">
          <cell r="U87">
            <v>1199</v>
          </cell>
        </row>
        <row r="88">
          <cell r="U88">
            <v>-5713</v>
          </cell>
        </row>
        <row r="89">
          <cell r="U89">
            <v>8967.973854237782</v>
          </cell>
        </row>
        <row r="101">
          <cell r="U101">
            <v>-2092</v>
          </cell>
        </row>
        <row r="104">
          <cell r="U104">
            <v>-105628.07493307453</v>
          </cell>
        </row>
        <row r="106">
          <cell r="U106">
            <v>21934.947990577046</v>
          </cell>
        </row>
        <row r="113">
          <cell r="U113">
            <v>533.936421125</v>
          </cell>
        </row>
        <row r="115">
          <cell r="U115">
            <v>103768</v>
          </cell>
        </row>
        <row r="116">
          <cell r="U116">
            <v>4364</v>
          </cell>
        </row>
        <row r="127">
          <cell r="U127">
            <v>36002.2908066145</v>
          </cell>
        </row>
        <row r="231">
          <cell r="U231">
            <v>4151</v>
          </cell>
        </row>
        <row r="232">
          <cell r="U232">
            <v>874.1058660000003</v>
          </cell>
        </row>
        <row r="234">
          <cell r="R234">
            <v>0</v>
          </cell>
          <cell r="U234">
            <v>-401.7204134999999</v>
          </cell>
        </row>
        <row r="240">
          <cell r="U240">
            <v>9299.867921218502</v>
          </cell>
        </row>
        <row r="242">
          <cell r="U242">
            <v>-134.01512357531413</v>
          </cell>
        </row>
        <row r="244">
          <cell r="U244">
            <v>0.5748171999998704</v>
          </cell>
        </row>
        <row r="648">
          <cell r="N648">
            <v>4528.7921357725</v>
          </cell>
        </row>
        <row r="671">
          <cell r="P671">
            <v>13112.5157216125</v>
          </cell>
        </row>
        <row r="682">
          <cell r="P682">
            <v>1352</v>
          </cell>
        </row>
        <row r="685">
          <cell r="P685">
            <v>2229.049481688</v>
          </cell>
        </row>
        <row r="689">
          <cell r="P689">
            <v>18421.365435102503</v>
          </cell>
        </row>
        <row r="695">
          <cell r="P695">
            <v>739.9251400000003</v>
          </cell>
        </row>
      </sheetData>
      <sheetData sheetId="12">
        <row r="757">
          <cell r="K757">
            <v>150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6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46">
          <cell r="C46">
            <v>1.515162096764535</v>
          </cell>
        </row>
        <row r="49">
          <cell r="C49">
            <v>604915</v>
          </cell>
        </row>
        <row r="58">
          <cell r="C58">
            <v>1.2933066731774472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forex98PL"/>
      <sheetName val="dividend"/>
      <sheetName val="overdraft"/>
      <sheetName val="disposal"/>
      <sheetName val="notes"/>
      <sheetName val="LTI-prov"/>
      <sheetName val="InvProp&amp;Intangible"/>
      <sheetName val="Disposal2003"/>
      <sheetName val="bad&amp;doubtful debts"/>
      <sheetName val="cash flow (co)"/>
      <sheetName val="Acq in FY06"/>
      <sheetName val="Acq in FY07"/>
      <sheetName val="Acq&amp;strikeoff 2005 - MAF&amp;IWL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-13.085119474700008</v>
          </cell>
        </row>
      </sheetData>
      <sheetData sheetId="8">
        <row r="8">
          <cell r="G8">
            <v>9704.085786800782</v>
          </cell>
        </row>
        <row r="22">
          <cell r="G22">
            <v>739.9251400000003</v>
          </cell>
        </row>
        <row r="23">
          <cell r="G23">
            <v>-1069.5099867095</v>
          </cell>
        </row>
        <row r="31">
          <cell r="I31">
            <v>-2356.7685438504996</v>
          </cell>
        </row>
        <row r="36">
          <cell r="G36">
            <v>25369.38180469386</v>
          </cell>
        </row>
        <row r="37">
          <cell r="G37">
            <v>-4646.601332235008</v>
          </cell>
        </row>
        <row r="38">
          <cell r="G38">
            <v>416.4913641880009</v>
          </cell>
        </row>
        <row r="39">
          <cell r="G39">
            <v>-679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-0.4680100000000138</v>
          </cell>
        </row>
        <row r="43">
          <cell r="G43">
            <v>-1744.5006900000008</v>
          </cell>
        </row>
        <row r="48">
          <cell r="G48">
            <v>-2831.9251400000003</v>
          </cell>
        </row>
        <row r="49">
          <cell r="G49">
            <v>-378.698264885</v>
          </cell>
        </row>
        <row r="55">
          <cell r="G55">
            <v>426.00451200650093</v>
          </cell>
        </row>
        <row r="56">
          <cell r="G56">
            <v>-4296.5427953385</v>
          </cell>
        </row>
        <row r="59">
          <cell r="G59">
            <v>150</v>
          </cell>
        </row>
        <row r="61">
          <cell r="G61">
            <v>551.3964500000001</v>
          </cell>
        </row>
        <row r="62">
          <cell r="G62">
            <v>-3161</v>
          </cell>
        </row>
        <row r="64">
          <cell r="G64">
            <v>504.84303</v>
          </cell>
        </row>
        <row r="67">
          <cell r="G67">
            <v>-5825.298803331998</v>
          </cell>
        </row>
        <row r="71">
          <cell r="G71">
            <v>-6514.753090000013</v>
          </cell>
        </row>
        <row r="72">
          <cell r="G72">
            <v>5.0679999999993015</v>
          </cell>
        </row>
        <row r="73">
          <cell r="G73">
            <v>3707</v>
          </cell>
        </row>
        <row r="74">
          <cell r="G74">
            <v>-1183.9742754999997</v>
          </cell>
        </row>
        <row r="75">
          <cell r="G75">
            <v>-229.44645899999983</v>
          </cell>
        </row>
        <row r="85">
          <cell r="G85">
            <v>20.867461500000218</v>
          </cell>
        </row>
        <row r="87">
          <cell r="G87">
            <v>112236</v>
          </cell>
        </row>
        <row r="92">
          <cell r="G92">
            <v>14812.325872972</v>
          </cell>
        </row>
        <row r="93">
          <cell r="G93">
            <v>113906.95451860252</v>
          </cell>
        </row>
        <row r="94">
          <cell r="G94">
            <v>-2911.318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cquisit"/>
      <sheetName val="summa"/>
      <sheetName val=" interco to IB main"/>
      <sheetName val="grpinter"/>
      <sheetName val="LCSGROUP"/>
      <sheetName val="fixasset"/>
      <sheetName val="MI"/>
      <sheetName val="MAINPA"/>
      <sheetName val="no use"/>
      <sheetName val="not use"/>
      <sheetName val="support A13&amp;14"/>
      <sheetName val="main2"/>
      <sheetName val="GssbPA"/>
      <sheetName val="sheet3"/>
      <sheetName val="Goodwill"/>
    </sheetNames>
    <sheetDataSet>
      <sheetData sheetId="8">
        <row r="495">
          <cell r="F495">
            <v>1210727.8484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="75" zoomScaleNormal="75" workbookViewId="0" topLeftCell="A1">
      <selection activeCell="I18" sqref="I18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28"/>
    </row>
    <row r="2" spans="1:10" ht="12.75">
      <c r="A2" s="115" t="s">
        <v>25</v>
      </c>
      <c r="B2" s="115"/>
      <c r="C2" s="115"/>
      <c r="D2" s="115"/>
      <c r="E2" s="115"/>
      <c r="F2" s="115"/>
      <c r="G2" s="115"/>
      <c r="H2" s="115"/>
      <c r="I2" s="115"/>
      <c r="J2" s="28"/>
    </row>
    <row r="3" spans="1:10" ht="12.75">
      <c r="A3" s="115" t="s">
        <v>26</v>
      </c>
      <c r="B3" s="115"/>
      <c r="C3" s="115"/>
      <c r="D3" s="115"/>
      <c r="E3" s="115"/>
      <c r="F3" s="115"/>
      <c r="G3" s="115"/>
      <c r="H3" s="115"/>
      <c r="I3" s="115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2"/>
    </row>
    <row r="5" spans="1:10" ht="13.5" thickBot="1">
      <c r="A5" s="59" t="s">
        <v>101</v>
      </c>
      <c r="B5" s="40"/>
      <c r="C5" s="40"/>
      <c r="D5" s="40"/>
      <c r="E5" s="40"/>
      <c r="F5" s="40"/>
      <c r="G5" s="40"/>
      <c r="H5" s="40"/>
      <c r="I5" s="40"/>
      <c r="J5" s="112"/>
    </row>
    <row r="6" spans="1:10" ht="15.75">
      <c r="A6" s="32"/>
      <c r="B6" s="30"/>
      <c r="C6" s="27"/>
      <c r="D6" s="28"/>
      <c r="E6" s="28"/>
      <c r="F6" s="28"/>
      <c r="G6" s="31"/>
      <c r="H6" s="31"/>
      <c r="I6" s="31"/>
      <c r="J6" s="112"/>
    </row>
    <row r="7" spans="1:10" ht="15.75">
      <c r="A7" s="38" t="s">
        <v>33</v>
      </c>
      <c r="B7" s="30"/>
      <c r="C7" s="27"/>
      <c r="D7" s="28"/>
      <c r="E7" s="28"/>
      <c r="F7" s="28"/>
      <c r="G7" s="31"/>
      <c r="H7" s="31"/>
      <c r="I7" s="31"/>
      <c r="J7" s="112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71</v>
      </c>
    </row>
    <row r="11" spans="1:9" ht="12.75">
      <c r="A11" s="9"/>
      <c r="B11" s="8"/>
      <c r="C11" s="8"/>
      <c r="D11" s="9"/>
      <c r="E11" s="9"/>
      <c r="F11" s="9"/>
      <c r="G11" s="72" t="s">
        <v>102</v>
      </c>
      <c r="H11" s="2"/>
      <c r="I11" s="70" t="s">
        <v>93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72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103</v>
      </c>
      <c r="B14" s="8"/>
      <c r="C14" s="8"/>
      <c r="D14" s="9"/>
      <c r="E14" s="9"/>
      <c r="F14" s="9"/>
    </row>
    <row r="15" spans="1:9" ht="12.75">
      <c r="A15" s="4" t="s">
        <v>104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 t="s">
        <v>154</v>
      </c>
      <c r="B16" s="28"/>
      <c r="C16" s="28"/>
      <c r="D16" s="28"/>
      <c r="E16" s="9"/>
      <c r="F16" s="9"/>
      <c r="G16" s="10">
        <f>'[3]M-GER95A.XLS'!$U$10</f>
        <v>55875.651011654496</v>
      </c>
      <c r="H16" s="10"/>
      <c r="I16" s="10">
        <f>70561-17794</f>
        <v>52767</v>
      </c>
    </row>
    <row r="17" spans="1:9" ht="12.75">
      <c r="A17" s="25" t="s">
        <v>158</v>
      </c>
      <c r="B17" s="28"/>
      <c r="C17" s="27"/>
      <c r="D17" s="28"/>
      <c r="E17" s="9"/>
      <c r="F17" s="9"/>
      <c r="G17" s="10">
        <f>'[3]M-GER95A.XLS'!$U$24</f>
        <v>40047.225</v>
      </c>
      <c r="H17" s="10"/>
      <c r="I17" s="10">
        <f>18337+17794</f>
        <v>36131</v>
      </c>
    </row>
    <row r="18" spans="1:9" ht="12.75">
      <c r="A18" s="25" t="s">
        <v>105</v>
      </c>
      <c r="B18" s="28"/>
      <c r="C18" s="27"/>
      <c r="D18" s="28"/>
      <c r="E18" s="9"/>
      <c r="F18" s="9"/>
      <c r="G18" s="10">
        <f>'[3]M-GER95A.XLS'!$U$22</f>
        <v>37576</v>
      </c>
      <c r="H18" s="10"/>
      <c r="I18" s="10">
        <v>37576</v>
      </c>
    </row>
    <row r="19" spans="1:9" ht="12.75">
      <c r="A19" s="25" t="s">
        <v>156</v>
      </c>
      <c r="B19" s="28"/>
      <c r="C19" s="27"/>
      <c r="D19" s="28"/>
      <c r="E19" s="9"/>
      <c r="F19" s="9"/>
      <c r="G19" s="10">
        <f>'[3]M-GER95A.XLS'!$U$18</f>
        <v>98984.32909</v>
      </c>
      <c r="H19" s="10"/>
      <c r="I19" s="10">
        <v>94079</v>
      </c>
    </row>
    <row r="20" spans="1:9" ht="12.75">
      <c r="A20" s="25" t="s">
        <v>155</v>
      </c>
      <c r="B20" s="28"/>
      <c r="C20" s="28"/>
      <c r="D20" s="28"/>
      <c r="E20" s="9"/>
      <c r="F20" s="9"/>
      <c r="G20" s="10">
        <f>'[3]M-GER95A.XLS'!$U$15</f>
        <v>17612.10593793113</v>
      </c>
      <c r="H20" s="10"/>
      <c r="I20" s="10">
        <v>16738</v>
      </c>
    </row>
    <row r="21" spans="1:9" ht="12.75">
      <c r="A21" s="25" t="s">
        <v>157</v>
      </c>
      <c r="B21" s="28"/>
      <c r="C21" s="27"/>
      <c r="D21" s="28"/>
      <c r="E21" s="9"/>
      <c r="F21" s="9"/>
      <c r="G21" s="10">
        <f>'[3]M-GER95A.XLS'!$U$20+'[3]M-GER95A.XLS'!$U$75+'[3]M-GER95A.XLS'!$U$26+1</f>
        <v>28951.381068078506</v>
      </c>
      <c r="H21" s="10"/>
      <c r="I21" s="10">
        <f>26047+210+3095</f>
        <v>29352</v>
      </c>
    </row>
    <row r="22" spans="1:9" ht="12.75">
      <c r="A22" s="25" t="s">
        <v>159</v>
      </c>
      <c r="B22" s="28"/>
      <c r="C22" s="27"/>
      <c r="D22" s="28"/>
      <c r="E22" s="9"/>
      <c r="F22" s="9"/>
      <c r="G22" s="10">
        <f>'[3]M-GER95A.XLS'!$U$29</f>
        <v>8967.8</v>
      </c>
      <c r="H22" s="10"/>
      <c r="I22" s="10">
        <v>8968</v>
      </c>
    </row>
    <row r="23" spans="1:9" ht="12.75">
      <c r="A23" s="25"/>
      <c r="B23" s="28"/>
      <c r="C23" s="27"/>
      <c r="D23" s="28"/>
      <c r="E23" s="9"/>
      <c r="F23" s="9"/>
      <c r="G23" s="13">
        <f>SUM(G16:G22)</f>
        <v>288014.4921076641</v>
      </c>
      <c r="H23" s="10"/>
      <c r="I23" s="13">
        <f>SUM(I16:I22)</f>
        <v>275611</v>
      </c>
    </row>
    <row r="24" spans="1:9" ht="12.75">
      <c r="A24" s="25"/>
      <c r="B24" s="28"/>
      <c r="C24" s="27"/>
      <c r="D24" s="28"/>
      <c r="E24" s="9"/>
      <c r="F24" s="9"/>
      <c r="G24" s="10"/>
      <c r="H24" s="10"/>
      <c r="I24" s="10"/>
    </row>
    <row r="25" spans="1:9" ht="12.75">
      <c r="A25" s="42" t="s">
        <v>2</v>
      </c>
      <c r="B25" s="43"/>
      <c r="C25" s="42"/>
      <c r="D25" s="9"/>
      <c r="E25" s="9"/>
      <c r="F25" s="9"/>
      <c r="G25" s="10"/>
      <c r="H25" s="10"/>
      <c r="I25" s="10"/>
    </row>
    <row r="26" spans="1:9" ht="12.75">
      <c r="A26" s="42"/>
      <c r="B26" s="28" t="s">
        <v>94</v>
      </c>
      <c r="C26" s="42"/>
      <c r="D26" s="9"/>
      <c r="E26" s="9"/>
      <c r="F26" s="9"/>
      <c r="G26" s="10">
        <f>'[3]M-GER95A.XLS'!$U$36</f>
        <v>19152.6819</v>
      </c>
      <c r="H26" s="10"/>
      <c r="I26" s="10">
        <f>12415+4994</f>
        <v>17409</v>
      </c>
    </row>
    <row r="27" spans="1:9" ht="12.75">
      <c r="A27" s="42"/>
      <c r="B27" s="25" t="s">
        <v>10</v>
      </c>
      <c r="C27" s="25"/>
      <c r="D27" s="9"/>
      <c r="E27" s="9"/>
      <c r="F27" s="9"/>
      <c r="G27" s="11">
        <f>'[3]M-GER95A.XLS'!$U$50</f>
        <v>31107.637569812</v>
      </c>
      <c r="H27" s="11"/>
      <c r="I27" s="11">
        <v>31698</v>
      </c>
    </row>
    <row r="28" spans="1:9" ht="12.75">
      <c r="A28" s="42"/>
      <c r="B28" s="25" t="s">
        <v>174</v>
      </c>
      <c r="C28" s="26"/>
      <c r="D28" s="9"/>
      <c r="E28" s="9"/>
      <c r="F28" s="9"/>
      <c r="G28" s="11">
        <f>'[3]M-GER95A.XLS'!$U$32+'[3]M-GER95A.XLS'!$U$33*0</f>
        <v>243929.90311776</v>
      </c>
      <c r="H28" s="11"/>
      <c r="I28" s="11">
        <f>269657</f>
        <v>269657</v>
      </c>
    </row>
    <row r="29" spans="1:9" ht="12.75">
      <c r="A29" s="42"/>
      <c r="B29" s="26" t="s">
        <v>175</v>
      </c>
      <c r="C29" s="26"/>
      <c r="D29" s="9"/>
      <c r="E29" s="9"/>
      <c r="F29" s="9"/>
      <c r="G29" s="11">
        <f>'[3]M-GER95A.XLS'!$U$32*0+'[3]M-GER95A.XLS'!$U$33+3</f>
        <v>23749.389797046148</v>
      </c>
      <c r="H29" s="11"/>
      <c r="I29" s="11">
        <v>22431</v>
      </c>
    </row>
    <row r="30" spans="1:9" ht="12.75">
      <c r="A30" s="42"/>
      <c r="B30" s="26" t="s">
        <v>78</v>
      </c>
      <c r="C30" s="26"/>
      <c r="D30" s="9"/>
      <c r="E30" s="9"/>
      <c r="F30" s="9"/>
      <c r="G30" s="11">
        <f>'[3]M-GER95A.XLS'!$U$37</f>
        <v>9650.9089358</v>
      </c>
      <c r="H30" s="11"/>
      <c r="I30" s="11">
        <v>9600</v>
      </c>
    </row>
    <row r="31" spans="1:9" ht="12.75">
      <c r="A31" s="42"/>
      <c r="B31" s="26" t="s">
        <v>14</v>
      </c>
      <c r="C31" s="26"/>
      <c r="D31" s="9"/>
      <c r="E31" s="9"/>
      <c r="F31" s="9"/>
      <c r="G31" s="11">
        <f>'[3]M-GER95A.XLS'!$U$31</f>
        <v>33483.245500000005</v>
      </c>
      <c r="H31" s="11"/>
      <c r="I31" s="11">
        <v>34176</v>
      </c>
    </row>
    <row r="32" spans="1:9" ht="12.75">
      <c r="A32" s="42"/>
      <c r="B32" s="26" t="s">
        <v>15</v>
      </c>
      <c r="C32" s="26"/>
      <c r="D32" s="9"/>
      <c r="E32" s="9"/>
      <c r="F32" s="9"/>
      <c r="G32" s="11"/>
      <c r="H32" s="11"/>
      <c r="I32" s="11"/>
    </row>
    <row r="33" spans="1:9" ht="12.75">
      <c r="A33" s="42"/>
      <c r="B33" s="26" t="s">
        <v>16</v>
      </c>
      <c r="C33" s="26"/>
      <c r="D33" s="9"/>
      <c r="E33" s="9"/>
      <c r="F33" s="9"/>
      <c r="G33" s="11">
        <f>'[3]M-GER95A.XLS'!$U$51+'[3]M-GER95A.XLS'!$U$52</f>
        <v>260643.3812386025</v>
      </c>
      <c r="H33" s="11"/>
      <c r="I33" s="11">
        <v>239244</v>
      </c>
    </row>
    <row r="34" spans="1:9" ht="12.75">
      <c r="A34" s="42"/>
      <c r="B34" s="26" t="s">
        <v>17</v>
      </c>
      <c r="C34" s="26"/>
      <c r="D34" s="9"/>
      <c r="E34" s="9"/>
      <c r="F34" s="9"/>
      <c r="G34" s="11">
        <f>'[3]M-GER95A.XLS'!$U$53</f>
        <v>18614.325872972</v>
      </c>
      <c r="H34" s="11"/>
      <c r="I34" s="11">
        <v>18857</v>
      </c>
    </row>
    <row r="35" spans="1:9" ht="12.75">
      <c r="A35" s="42"/>
      <c r="B35" s="43"/>
      <c r="C35" s="27"/>
      <c r="D35" s="9"/>
      <c r="E35" s="9"/>
      <c r="F35" s="9"/>
      <c r="G35" s="13">
        <f>SUM(G26:G34)</f>
        <v>640331.4739319928</v>
      </c>
      <c r="I35" s="13">
        <f>SUM(I26:I34)</f>
        <v>643072</v>
      </c>
    </row>
    <row r="36" spans="1:9" ht="12.75">
      <c r="A36" s="42"/>
      <c r="B36" s="43"/>
      <c r="C36" s="27"/>
      <c r="D36" s="9"/>
      <c r="E36" s="9"/>
      <c r="F36" s="9"/>
      <c r="G36" s="11"/>
      <c r="I36" s="11"/>
    </row>
    <row r="37" spans="1:9" ht="13.5" thickBot="1">
      <c r="A37" s="42" t="s">
        <v>106</v>
      </c>
      <c r="B37" s="43"/>
      <c r="C37" s="27"/>
      <c r="D37" s="9"/>
      <c r="E37" s="9"/>
      <c r="F37" s="9"/>
      <c r="G37" s="100">
        <f>G35+G23-1</f>
        <v>928344.9660396569</v>
      </c>
      <c r="I37" s="100">
        <f>I35+I23</f>
        <v>918683</v>
      </c>
    </row>
    <row r="38" spans="1:9" ht="13.5" thickTop="1">
      <c r="A38" s="42"/>
      <c r="B38" s="43"/>
      <c r="C38" s="27"/>
      <c r="D38" s="9"/>
      <c r="E38" s="9"/>
      <c r="F38" s="9"/>
      <c r="G38" s="11"/>
      <c r="I38" s="11"/>
    </row>
    <row r="39" spans="1:9" ht="12.75">
      <c r="A39" s="42"/>
      <c r="B39" s="43"/>
      <c r="C39" s="27"/>
      <c r="D39" s="9"/>
      <c r="E39" s="9"/>
      <c r="F39" s="9"/>
      <c r="G39" s="11"/>
      <c r="I39" s="11"/>
    </row>
    <row r="40" spans="1:9" ht="12.75">
      <c r="A40" s="42" t="s">
        <v>107</v>
      </c>
      <c r="B40" s="43"/>
      <c r="C40" s="27"/>
      <c r="D40" s="9"/>
      <c r="E40" s="9"/>
      <c r="F40" s="9"/>
      <c r="G40" s="11"/>
      <c r="H40" s="11"/>
      <c r="I40" s="11"/>
    </row>
    <row r="41" spans="1:9" ht="12.75">
      <c r="A41" s="44" t="s">
        <v>108</v>
      </c>
      <c r="B41" s="43"/>
      <c r="C41" s="27"/>
      <c r="D41" s="9"/>
      <c r="E41" s="9"/>
      <c r="F41" s="9"/>
      <c r="G41" s="11"/>
      <c r="H41" s="11"/>
      <c r="I41" s="11"/>
    </row>
    <row r="42" spans="1:9" ht="12.75">
      <c r="A42" s="25" t="s">
        <v>160</v>
      </c>
      <c r="B42" s="28"/>
      <c r="C42" s="43"/>
      <c r="D42" s="9"/>
      <c r="E42" s="9"/>
      <c r="F42" s="9"/>
      <c r="G42" s="10">
        <f>'[3]M-GER95A.XLS'!$U$80</f>
        <v>618966.2163726198</v>
      </c>
      <c r="I42" s="10">
        <v>618966</v>
      </c>
    </row>
    <row r="43" spans="1:9" ht="12.75">
      <c r="A43" s="25" t="s">
        <v>111</v>
      </c>
      <c r="B43" s="28"/>
      <c r="C43" s="43"/>
      <c r="D43" s="9"/>
      <c r="E43" s="9"/>
      <c r="F43" s="9"/>
      <c r="G43" s="10">
        <f>'[3]M-GER95A.XLS'!$U$84+'[3]M-GER95A.XLS'!$U$87+'[3]M-GER95A.XLS'!$U$88+'[3]M-GER95A.XLS'!$U$89</f>
        <v>70847.5438542378</v>
      </c>
      <c r="I43" s="10">
        <v>70718</v>
      </c>
    </row>
    <row r="44" spans="1:9" ht="12.75">
      <c r="A44" s="25" t="s">
        <v>112</v>
      </c>
      <c r="B44" s="28"/>
      <c r="C44" s="43"/>
      <c r="D44" s="9"/>
      <c r="E44" s="9"/>
      <c r="F44" s="9"/>
      <c r="G44" s="10"/>
      <c r="I44" s="10"/>
    </row>
    <row r="45" spans="1:9" ht="12.75">
      <c r="A45" s="25" t="s">
        <v>113</v>
      </c>
      <c r="B45" s="28"/>
      <c r="C45" s="43"/>
      <c r="D45" s="9"/>
      <c r="E45" s="9"/>
      <c r="F45" s="9"/>
      <c r="G45" s="10">
        <f>'[3]M-GER95A.XLS'!$U$115</f>
        <v>103768</v>
      </c>
      <c r="I45" s="10">
        <v>103768</v>
      </c>
    </row>
    <row r="46" spans="1:9" ht="12.75">
      <c r="A46" s="25" t="s">
        <v>141</v>
      </c>
      <c r="B46" s="28"/>
      <c r="C46" s="4"/>
      <c r="D46" s="9"/>
      <c r="E46" s="9"/>
      <c r="F46" s="9"/>
      <c r="G46" s="97">
        <f>'[3]M-GER95A.XLS'!$U$104</f>
        <v>-105628.07493307453</v>
      </c>
      <c r="I46" s="97">
        <v>-112705</v>
      </c>
    </row>
    <row r="47" spans="1:9" ht="12.75">
      <c r="A47" s="25"/>
      <c r="B47" s="28"/>
      <c r="C47" s="43"/>
      <c r="D47" s="9"/>
      <c r="E47" s="9"/>
      <c r="F47" s="9"/>
      <c r="G47" s="46">
        <f>SUM(G42:G46)</f>
        <v>687953.6852937831</v>
      </c>
      <c r="I47" s="46">
        <f>SUM(I42:I46)</f>
        <v>680747</v>
      </c>
    </row>
    <row r="48" spans="1:9" ht="12.75">
      <c r="A48" s="14" t="s">
        <v>5</v>
      </c>
      <c r="B48" s="28"/>
      <c r="C48" s="43"/>
      <c r="D48" s="9"/>
      <c r="E48" s="9"/>
      <c r="F48" s="9"/>
      <c r="G48" s="10">
        <f>'[3]M-GER95A.XLS'!$U$106-'[3]M-GER95A.XLS'!$U$49</f>
        <v>24308.027990577044</v>
      </c>
      <c r="I48" s="10">
        <v>22798</v>
      </c>
    </row>
    <row r="49" spans="1:9" ht="12.75">
      <c r="A49" s="60" t="s">
        <v>109</v>
      </c>
      <c r="B49" s="28"/>
      <c r="C49" s="43"/>
      <c r="D49" s="9"/>
      <c r="E49" s="9"/>
      <c r="F49" s="9"/>
      <c r="G49" s="13">
        <f>G47+G48</f>
        <v>712261.7132843601</v>
      </c>
      <c r="I49" s="13">
        <f>I47+I48</f>
        <v>703545</v>
      </c>
    </row>
    <row r="50" spans="1:9" ht="12.75">
      <c r="A50" s="102"/>
      <c r="B50" s="28"/>
      <c r="C50" s="43"/>
      <c r="D50" s="9"/>
      <c r="E50" s="9"/>
      <c r="F50" s="9"/>
      <c r="G50" s="11"/>
      <c r="I50" s="11"/>
    </row>
    <row r="51" spans="1:9" ht="12.75">
      <c r="A51" s="14" t="s">
        <v>110</v>
      </c>
      <c r="B51" s="28"/>
      <c r="C51" s="43"/>
      <c r="D51" s="9"/>
      <c r="E51" s="9"/>
      <c r="F51" s="9"/>
      <c r="G51" s="11"/>
      <c r="I51" s="11"/>
    </row>
    <row r="52" spans="1:9" ht="12.75">
      <c r="A52" s="101" t="s">
        <v>161</v>
      </c>
      <c r="B52" s="28"/>
      <c r="C52" s="28"/>
      <c r="D52" s="28"/>
      <c r="E52" s="28"/>
      <c r="F52" s="28"/>
      <c r="G52" s="31">
        <f>'[3]M-GER95A.XLS'!$U$116</f>
        <v>4364</v>
      </c>
      <c r="H52" s="28"/>
      <c r="I52" s="31">
        <v>3777</v>
      </c>
    </row>
    <row r="53" spans="1:9" ht="12.75">
      <c r="A53" s="101" t="s">
        <v>182</v>
      </c>
      <c r="B53" s="28"/>
      <c r="C53" s="43"/>
      <c r="D53" s="9"/>
      <c r="E53" s="9"/>
      <c r="F53" s="9"/>
      <c r="G53" s="10">
        <f>'[3]M-GER95A.XLS'!$U$113</f>
        <v>533.936421125</v>
      </c>
      <c r="I53" s="10">
        <v>470</v>
      </c>
    </row>
    <row r="54" spans="1:9" ht="12.75">
      <c r="A54" s="43"/>
      <c r="B54" s="43"/>
      <c r="C54" s="43"/>
      <c r="D54" s="9"/>
      <c r="E54" s="9"/>
      <c r="F54" s="9"/>
      <c r="G54" s="13">
        <f>G53+G52</f>
        <v>4897.936421125</v>
      </c>
      <c r="I54" s="13">
        <f>I53+I52</f>
        <v>4247</v>
      </c>
    </row>
    <row r="56" spans="1:9" ht="12.75">
      <c r="A56" s="42" t="s">
        <v>4</v>
      </c>
      <c r="B56" s="43"/>
      <c r="C56" s="27"/>
      <c r="D56" s="9"/>
      <c r="E56" s="9"/>
      <c r="F56" s="9"/>
      <c r="G56" s="11"/>
      <c r="H56" s="11"/>
      <c r="I56" s="11"/>
    </row>
    <row r="57" spans="1:9" ht="12.75">
      <c r="A57" s="42"/>
      <c r="B57" s="25" t="s">
        <v>176</v>
      </c>
      <c r="C57" s="26"/>
      <c r="D57" s="9"/>
      <c r="E57" s="9"/>
      <c r="F57" s="9"/>
      <c r="G57" s="11">
        <f>SUM('[3]M-GER95A.XLS'!$U$58)</f>
        <v>169177.7124580945</v>
      </c>
      <c r="H57" s="11"/>
      <c r="I57" s="11">
        <f>171258</f>
        <v>171258</v>
      </c>
    </row>
    <row r="58" spans="1:9" ht="12.75">
      <c r="A58" s="42"/>
      <c r="B58" s="26" t="s">
        <v>183</v>
      </c>
      <c r="C58" s="26"/>
      <c r="D58" s="9"/>
      <c r="E58" s="9"/>
      <c r="F58" s="9"/>
      <c r="G58" s="1">
        <f>'[3]M-GER95A.XLS'!$U$59+'[3]M-GER95A.XLS'!$U$60</f>
        <v>25882.017714670503</v>
      </c>
      <c r="H58" s="11"/>
      <c r="I58" s="11">
        <v>27077</v>
      </c>
    </row>
    <row r="59" spans="1:9" ht="12.75">
      <c r="A59" s="42"/>
      <c r="B59" s="26" t="s">
        <v>18</v>
      </c>
      <c r="C59" s="26"/>
      <c r="D59" s="9"/>
      <c r="E59" s="9"/>
      <c r="F59" s="9"/>
      <c r="G59" s="11">
        <f>'[3]M-GER95A.XLS'!$U$67+'[3]M-GER95A.XLS'!$U$69</f>
        <v>15494.984</v>
      </c>
      <c r="H59" s="11"/>
      <c r="I59" s="11">
        <v>11864</v>
      </c>
    </row>
    <row r="60" spans="1:9" ht="12.75">
      <c r="A60" s="42"/>
      <c r="B60" s="25" t="s">
        <v>79</v>
      </c>
      <c r="C60" s="27"/>
      <c r="D60" s="9"/>
      <c r="E60" s="9"/>
      <c r="F60" s="9"/>
      <c r="G60" s="11">
        <f>'[3]M-GER95A.XLS'!$U$64</f>
        <v>630.4507060650001</v>
      </c>
      <c r="H60" s="11"/>
      <c r="I60" s="11">
        <v>692</v>
      </c>
    </row>
    <row r="61" spans="1:9" ht="12.75">
      <c r="A61" s="42"/>
      <c r="B61" s="43"/>
      <c r="C61" s="38"/>
      <c r="D61" s="9"/>
      <c r="E61" s="9"/>
      <c r="F61" s="9"/>
      <c r="G61" s="13">
        <f>SUM(G57:G60)</f>
        <v>211185.16487883</v>
      </c>
      <c r="I61" s="13">
        <f>SUM(I57:I60)</f>
        <v>210891</v>
      </c>
    </row>
    <row r="62" spans="1:9" ht="12.75">
      <c r="A62" s="42"/>
      <c r="B62" s="43"/>
      <c r="C62" s="38"/>
      <c r="D62" s="9"/>
      <c r="E62" s="9"/>
      <c r="F62" s="9"/>
      <c r="G62" s="11"/>
      <c r="I62" s="11"/>
    </row>
    <row r="63" spans="1:9" ht="12.75">
      <c r="A63" s="44" t="s">
        <v>114</v>
      </c>
      <c r="B63" s="43"/>
      <c r="C63" s="38"/>
      <c r="D63" s="9"/>
      <c r="E63" s="9"/>
      <c r="F63" s="9"/>
      <c r="G63" s="11">
        <f>G61+G54</f>
        <v>216083.101299955</v>
      </c>
      <c r="I63" s="11">
        <f>I61+I54</f>
        <v>215138</v>
      </c>
    </row>
    <row r="64" spans="2:9" ht="12.75">
      <c r="B64" s="43"/>
      <c r="C64" s="43"/>
      <c r="D64" s="9"/>
      <c r="E64" s="9"/>
      <c r="F64" s="9"/>
      <c r="G64" s="9"/>
      <c r="I64" s="10"/>
    </row>
    <row r="65" spans="1:9" ht="13.5" thickBot="1">
      <c r="A65" s="44" t="s">
        <v>115</v>
      </c>
      <c r="B65" s="43"/>
      <c r="C65" s="43"/>
      <c r="D65" s="9"/>
      <c r="E65" s="9"/>
      <c r="F65" s="9"/>
      <c r="G65" s="12">
        <f>G63+G49</f>
        <v>928344.814584315</v>
      </c>
      <c r="I65" s="12">
        <f>I63+I49</f>
        <v>918683</v>
      </c>
    </row>
    <row r="66" spans="1:9" ht="13.5" thickTop="1">
      <c r="A66" s="3"/>
      <c r="C66" s="9"/>
      <c r="D66" s="9"/>
      <c r="E66" s="9"/>
      <c r="F66" s="9"/>
      <c r="G66" s="21">
        <f>G65-G37</f>
        <v>-0.15145534183830023</v>
      </c>
      <c r="I66" s="21"/>
    </row>
    <row r="67" spans="1:9" ht="12.75">
      <c r="A67" s="3"/>
      <c r="C67" s="9"/>
      <c r="D67" s="9"/>
      <c r="E67" s="9"/>
      <c r="F67" s="9"/>
      <c r="G67" s="21"/>
      <c r="I67" s="21"/>
    </row>
    <row r="68" spans="1:9" ht="12.75">
      <c r="A68" s="60" t="s">
        <v>88</v>
      </c>
      <c r="C68" s="9"/>
      <c r="D68" s="9"/>
      <c r="E68" s="9"/>
      <c r="F68" s="23"/>
      <c r="G68" s="75">
        <f>(G47)/'[4]June06'!$C$49</f>
        <v>1.1372733116120166</v>
      </c>
      <c r="H68" s="21"/>
      <c r="I68" s="75">
        <v>1.13</v>
      </c>
    </row>
    <row r="69" spans="1:9" ht="12.75">
      <c r="A69" s="3"/>
      <c r="C69" s="9"/>
      <c r="D69" s="9"/>
      <c r="E69" s="9"/>
      <c r="F69" s="9"/>
      <c r="G69" s="75"/>
      <c r="H69" s="21"/>
      <c r="I69" s="75"/>
    </row>
    <row r="70" spans="1:10" ht="12.75">
      <c r="A70" s="113" t="s">
        <v>184</v>
      </c>
      <c r="B70" s="113"/>
      <c r="C70" s="113"/>
      <c r="D70" s="113"/>
      <c r="E70" s="113"/>
      <c r="F70" s="113"/>
      <c r="G70" s="113"/>
      <c r="H70" s="113"/>
      <c r="I70" s="113"/>
      <c r="J70" s="113"/>
    </row>
    <row r="71" spans="1:10" ht="12.75">
      <c r="A71" s="113" t="s">
        <v>185</v>
      </c>
      <c r="B71" s="113"/>
      <c r="C71" s="113"/>
      <c r="D71" s="113"/>
      <c r="E71" s="113"/>
      <c r="F71" s="113"/>
      <c r="G71" s="113"/>
      <c r="H71" s="113"/>
      <c r="I71" s="113"/>
      <c r="J71" s="113"/>
    </row>
    <row r="72" spans="1:10" ht="12.75">
      <c r="A72" s="113" t="s">
        <v>186</v>
      </c>
      <c r="B72" s="113"/>
      <c r="C72" s="113"/>
      <c r="D72" s="113"/>
      <c r="E72" s="113"/>
      <c r="F72" s="113"/>
      <c r="G72" s="113"/>
      <c r="H72" s="113"/>
      <c r="I72" s="113"/>
      <c r="J72" s="113"/>
    </row>
    <row r="79" spans="1:9" ht="12.75">
      <c r="A79" s="42"/>
      <c r="B79" s="43"/>
      <c r="C79" s="42"/>
      <c r="D79" s="9"/>
      <c r="E79" s="9"/>
      <c r="F79" s="9"/>
      <c r="G79" s="10"/>
      <c r="I79" s="10"/>
    </row>
    <row r="80" spans="1:9" ht="12.75">
      <c r="A80" s="103"/>
      <c r="B80" s="104"/>
      <c r="C80" s="104"/>
      <c r="D80" s="105"/>
      <c r="E80" s="105"/>
      <c r="F80" s="105"/>
      <c r="G80" s="106"/>
      <c r="H80" s="107"/>
      <c r="I80" s="106"/>
    </row>
    <row r="81" spans="1:9" ht="12.75">
      <c r="A81" s="103"/>
      <c r="B81" s="104"/>
      <c r="C81" s="103"/>
      <c r="D81" s="105"/>
      <c r="E81" s="105"/>
      <c r="F81" s="105"/>
      <c r="G81" s="106"/>
      <c r="H81" s="107"/>
      <c r="I81" s="106"/>
    </row>
  </sheetData>
  <mergeCells count="6">
    <mergeCell ref="A72:J72"/>
    <mergeCell ref="A71:J71"/>
    <mergeCell ref="A1:I1"/>
    <mergeCell ref="A2:I2"/>
    <mergeCell ref="A3:I3"/>
    <mergeCell ref="A70:J70"/>
  </mergeCells>
  <printOptions/>
  <pageMargins left="1" right="0" top="0.24" bottom="0.16" header="0.26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6"/>
  <sheetViews>
    <sheetView zoomScale="75" zoomScaleNormal="75" workbookViewId="0" topLeftCell="A15">
      <selection activeCell="M54" sqref="M54"/>
    </sheetView>
  </sheetViews>
  <sheetFormatPr defaultColWidth="9.140625" defaultRowHeight="12.75"/>
  <cols>
    <col min="1" max="1" width="13.7109375" style="0" customWidth="1"/>
    <col min="4" max="5" width="11.7109375" style="0" customWidth="1"/>
    <col min="6" max="6" width="12.7109375" style="0" customWidth="1"/>
    <col min="7" max="9" width="11.7109375" style="0" customWidth="1"/>
    <col min="10" max="10" width="12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0" ht="15.75">
      <c r="A1" s="116" t="s">
        <v>152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>
      <c r="A2" s="117" t="s">
        <v>151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7" t="s">
        <v>153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9" ht="13.5" thickBot="1">
      <c r="A5" s="59" t="s">
        <v>116</v>
      </c>
      <c r="B5" s="40"/>
      <c r="C5" s="40"/>
      <c r="D5" s="40"/>
      <c r="E5" s="40"/>
      <c r="F5" s="40"/>
      <c r="G5" s="40"/>
      <c r="H5" s="40"/>
      <c r="I5" s="40"/>
    </row>
    <row r="6" spans="1:10" ht="15.7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.75">
      <c r="A7" s="60" t="s">
        <v>117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 t="s">
        <v>123</v>
      </c>
      <c r="D9" s="4"/>
      <c r="E9" s="108"/>
      <c r="F9" s="108"/>
      <c r="G9" s="108"/>
      <c r="H9" s="108"/>
      <c r="I9" s="108"/>
      <c r="J9" s="108"/>
      <c r="L9" s="23" t="s">
        <v>124</v>
      </c>
      <c r="M9" s="23" t="s">
        <v>125</v>
      </c>
    </row>
    <row r="10" spans="4:13" ht="12.75">
      <c r="D10" s="23"/>
      <c r="E10" s="23"/>
      <c r="F10" s="23"/>
      <c r="G10" s="23"/>
      <c r="H10" s="23" t="s">
        <v>37</v>
      </c>
      <c r="I10" s="23"/>
      <c r="J10" s="23"/>
      <c r="L10" s="73" t="s">
        <v>196</v>
      </c>
      <c r="M10" s="23" t="s">
        <v>197</v>
      </c>
    </row>
    <row r="11" spans="4:12" ht="12.75">
      <c r="D11" s="23" t="s">
        <v>34</v>
      </c>
      <c r="E11" s="23" t="s">
        <v>35</v>
      </c>
      <c r="F11" s="23" t="s">
        <v>64</v>
      </c>
      <c r="G11" s="23" t="s">
        <v>36</v>
      </c>
      <c r="H11" s="23" t="s">
        <v>192</v>
      </c>
      <c r="I11" s="23" t="s">
        <v>38</v>
      </c>
      <c r="J11" s="23" t="s">
        <v>39</v>
      </c>
      <c r="K11" s="23" t="s">
        <v>41</v>
      </c>
      <c r="L11" s="23"/>
    </row>
    <row r="12" spans="4:10" ht="12.75">
      <c r="D12" s="23" t="s">
        <v>189</v>
      </c>
      <c r="E12" s="23" t="s">
        <v>190</v>
      </c>
      <c r="F12" s="73" t="s">
        <v>65</v>
      </c>
      <c r="G12" s="23" t="s">
        <v>191</v>
      </c>
      <c r="H12" s="23" t="s">
        <v>193</v>
      </c>
      <c r="I12" s="23" t="s">
        <v>194</v>
      </c>
      <c r="J12" s="23" t="s">
        <v>195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4:12" ht="12.75"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118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120</v>
      </c>
      <c r="D17" s="46">
        <v>618966</v>
      </c>
      <c r="E17" s="46">
        <v>66394</v>
      </c>
      <c r="F17" s="46">
        <v>103768</v>
      </c>
      <c r="G17" s="46">
        <v>1200</v>
      </c>
      <c r="H17" s="46">
        <v>8837</v>
      </c>
      <c r="I17" s="46">
        <v>-5713</v>
      </c>
      <c r="J17" s="46">
        <v>-112705</v>
      </c>
      <c r="K17" s="46">
        <f>SUM(D17:J17)</f>
        <v>680747</v>
      </c>
      <c r="L17" s="46">
        <f>'BS'!I48</f>
        <v>22798</v>
      </c>
      <c r="M17" s="46">
        <f>L17+K17</f>
        <v>703545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t="s">
        <v>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f>I33-I17</f>
        <v>0</v>
      </c>
      <c r="J19" s="46">
        <v>0</v>
      </c>
      <c r="K19" s="46">
        <f>SUM(D19:J19)</f>
        <v>0</v>
      </c>
      <c r="L19" s="46">
        <v>0</v>
      </c>
      <c r="M19" s="46">
        <f>L19+K19</f>
        <v>0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s="54" t="s">
        <v>147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1:36" ht="12.75">
      <c r="A22" t="s">
        <v>100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f>SUM(D22:J22)</f>
        <v>0</v>
      </c>
      <c r="L22" s="46">
        <f>'[6]MAINPA'!$F$495/1000</f>
        <v>1210.7278484</v>
      </c>
      <c r="M22" s="46">
        <f>L22+K22</f>
        <v>1210.7278484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4:36" ht="12.75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1:36" ht="12.75">
      <c r="A24" t="s">
        <v>145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t="s">
        <v>146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f>SUM(D25:J25)</f>
        <v>0</v>
      </c>
      <c r="L25" s="46">
        <f>'[3]CON95PA-1.XLS'!$K$757</f>
        <v>150</v>
      </c>
      <c r="M25" s="46">
        <f>L25+K25</f>
        <v>150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2.75">
      <c r="A27" t="s">
        <v>40</v>
      </c>
      <c r="D27" s="46">
        <v>0</v>
      </c>
      <c r="E27" s="46">
        <v>0</v>
      </c>
      <c r="F27" s="46">
        <v>0</v>
      </c>
      <c r="G27" s="46">
        <v>0</v>
      </c>
      <c r="H27" s="46">
        <f>H33-H17</f>
        <v>129.97385423778178</v>
      </c>
      <c r="I27" s="46">
        <v>0</v>
      </c>
      <c r="J27" s="46">
        <v>0</v>
      </c>
      <c r="K27" s="46">
        <f>SUM(D27:J27)</f>
        <v>129.97385423778178</v>
      </c>
      <c r="L27" s="46">
        <f>-'[5]mi&amp;gw'!$D$9+2</f>
        <v>15.085119474700008</v>
      </c>
      <c r="M27" s="46">
        <f>L27+K27</f>
        <v>145.0589737124818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4:36" ht="12.75"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1:36" ht="12.75">
      <c r="A29" t="s">
        <v>66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f>'[3]M-GER95A.XLS'!$U$101</f>
        <v>-2092</v>
      </c>
      <c r="K29" s="46">
        <f>SUM(D29:J29)</f>
        <v>-2092</v>
      </c>
      <c r="L29" s="46">
        <v>0</v>
      </c>
      <c r="M29" s="46">
        <f>L29+K29</f>
        <v>-2092</v>
      </c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4:36" ht="12.75"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54" t="s">
        <v>121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f>'P&amp;L'!H53</f>
        <v>9168.852797643187</v>
      </c>
      <c r="K31" s="46">
        <f>J31</f>
        <v>9168.852797643187</v>
      </c>
      <c r="L31" s="46">
        <f>'P&amp;L'!H54</f>
        <v>133.589940775314</v>
      </c>
      <c r="M31" s="46">
        <f>L31+K31</f>
        <v>9302.4427384185</v>
      </c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4:36" ht="12.75"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1:36" ht="13.5" thickBot="1">
      <c r="A33" s="54" t="s">
        <v>122</v>
      </c>
      <c r="D33" s="53">
        <f>SUM(D17:D32)</f>
        <v>618966</v>
      </c>
      <c r="E33" s="53">
        <f>SUM(E17:E32)</f>
        <v>66394</v>
      </c>
      <c r="F33" s="53">
        <f>'[1]M-GER95A.XLS'!$U$113</f>
        <v>103768</v>
      </c>
      <c r="G33" s="53">
        <f>SUM(G17:G32)</f>
        <v>1200</v>
      </c>
      <c r="H33" s="53">
        <f>'[3]M-GER95A.XLS'!$U$89-1</f>
        <v>8966.973854237782</v>
      </c>
      <c r="I33" s="53">
        <f>'[2]M-GER95A.XLS'!$U$88</f>
        <v>-5713</v>
      </c>
      <c r="J33" s="53">
        <f>SUM(J17:J32)</f>
        <v>-105628.1472023568</v>
      </c>
      <c r="K33" s="53">
        <f>SUM(K17:K32)</f>
        <v>687953.826651881</v>
      </c>
      <c r="L33" s="53">
        <f>'BS'!G48</f>
        <v>24308.027990577044</v>
      </c>
      <c r="M33" s="53">
        <f>L33+K33</f>
        <v>712261.854642458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4:36" ht="12.75">
      <c r="D34" s="46"/>
      <c r="E34" s="46"/>
      <c r="F34" s="46"/>
      <c r="G34" s="46"/>
      <c r="H34" s="46"/>
      <c r="I34" s="46"/>
      <c r="J34" s="46"/>
      <c r="K34" s="1"/>
      <c r="L34" s="1">
        <f>L33-SUM(L17:L32)-1</f>
        <v>-0.3749180729719228</v>
      </c>
      <c r="M34" s="46">
        <f>M33-'BS'!G49</f>
        <v>0.14135809789877385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4:36" ht="12.75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ht="12.75">
      <c r="A36" s="14" t="s">
        <v>119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36" ht="12.75">
      <c r="A37" s="1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1:36" ht="12.75">
      <c r="A38" s="54" t="s">
        <v>85</v>
      </c>
      <c r="D38" s="46">
        <v>618966</v>
      </c>
      <c r="E38" s="46">
        <v>66394</v>
      </c>
      <c r="F38" s="46">
        <v>103768</v>
      </c>
      <c r="G38" s="46">
        <v>1200</v>
      </c>
      <c r="H38" s="46">
        <v>9853</v>
      </c>
      <c r="I38" s="46">
        <v>-5643</v>
      </c>
      <c r="J38" s="46">
        <v>-125537</v>
      </c>
      <c r="K38" s="46">
        <f>SUM(D38:J38)</f>
        <v>669001</v>
      </c>
      <c r="L38" s="46">
        <v>24096</v>
      </c>
      <c r="M38" s="46">
        <f>L38+K38</f>
        <v>693097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4:36" ht="12.75"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ht="12.75">
      <c r="A4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f>SUM(D40:J40)</f>
        <v>0</v>
      </c>
      <c r="L40" s="46">
        <v>0</v>
      </c>
      <c r="M40" s="46">
        <f>L40+K40</f>
        <v>0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4:36" ht="12.75">
      <c r="D41" s="46"/>
      <c r="E41" s="46"/>
      <c r="F41" s="46"/>
      <c r="G41" s="46"/>
      <c r="H41" s="46"/>
      <c r="I41" s="46"/>
      <c r="J41" s="15" t="s">
        <v>43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-856</v>
      </c>
      <c r="I42" s="46">
        <v>0</v>
      </c>
      <c r="J42" s="46">
        <v>0</v>
      </c>
      <c r="K42" s="46">
        <f>SUM(D42:J42)</f>
        <v>-856</v>
      </c>
      <c r="L42" s="46">
        <f>L48-L38-L46</f>
        <v>-33</v>
      </c>
      <c r="M42" s="46">
        <f>L42+K42</f>
        <v>-889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4:36" ht="12.7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t="s">
        <v>66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-2092</v>
      </c>
      <c r="K44" s="46">
        <f>SUM(D44:J44)</f>
        <v>-2092</v>
      </c>
      <c r="L44" s="46">
        <v>0</v>
      </c>
      <c r="M44" s="46">
        <f>L44+K44</f>
        <v>-2092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4:36" ht="12.7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2.75">
      <c r="A46" s="54" t="s">
        <v>121</v>
      </c>
      <c r="D46" s="46">
        <v>0</v>
      </c>
      <c r="E46" s="46">
        <v>0</v>
      </c>
      <c r="F46" s="46"/>
      <c r="G46" s="46">
        <v>0</v>
      </c>
      <c r="H46" s="46">
        <v>0</v>
      </c>
      <c r="I46" s="46">
        <v>0</v>
      </c>
      <c r="J46" s="46">
        <v>4741</v>
      </c>
      <c r="K46" s="46">
        <f>SUM(D46:J46)</f>
        <v>4741</v>
      </c>
      <c r="L46" s="46">
        <v>690</v>
      </c>
      <c r="M46" s="46">
        <f>L46+K46</f>
        <v>5431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4:36" ht="12.7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ht="13.5" thickBot="1">
      <c r="A48" s="54" t="s">
        <v>126</v>
      </c>
      <c r="D48" s="53">
        <f aca="true" t="shared" si="0" ref="D48:K48">SUM(D38:D47)</f>
        <v>618966</v>
      </c>
      <c r="E48" s="53">
        <f t="shared" si="0"/>
        <v>66394</v>
      </c>
      <c r="F48" s="53">
        <f t="shared" si="0"/>
        <v>103768</v>
      </c>
      <c r="G48" s="53">
        <f t="shared" si="0"/>
        <v>1200</v>
      </c>
      <c r="H48" s="53">
        <f t="shared" si="0"/>
        <v>8997</v>
      </c>
      <c r="I48" s="53">
        <f t="shared" si="0"/>
        <v>-5643</v>
      </c>
      <c r="J48" s="53">
        <f t="shared" si="0"/>
        <v>-122888</v>
      </c>
      <c r="K48" s="53">
        <f t="shared" si="0"/>
        <v>670794</v>
      </c>
      <c r="L48" s="53">
        <f>22345+2408</f>
        <v>24753</v>
      </c>
      <c r="M48" s="53">
        <f>L48+K48</f>
        <v>695547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4:36" ht="12.75"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4:36" ht="12.75"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4:36" ht="12.75"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1:36" ht="12.75">
      <c r="A52" s="113" t="s">
        <v>198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1:36" ht="12.75">
      <c r="A53" s="113" t="s">
        <v>199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4:36" ht="12.75"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4:36" ht="12.75"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4:36" ht="12.7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4:36" ht="12.7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4:36" ht="12.75"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4:36" ht="12.7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4:36" ht="12.75"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4:36" ht="12.7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4:36" ht="12.7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4:36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4:36" ht="12.7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</sheetData>
  <mergeCells count="5">
    <mergeCell ref="A1:J1"/>
    <mergeCell ref="A2:J2"/>
    <mergeCell ref="A3:J3"/>
    <mergeCell ref="A53:M53"/>
    <mergeCell ref="A52:M52"/>
  </mergeCells>
  <printOptions/>
  <pageMargins left="0.53" right="0" top="0.5" bottom="0.25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75" zoomScaleNormal="75" workbookViewId="0" topLeftCell="A39">
      <selection activeCell="A78" sqref="A78"/>
    </sheetView>
  </sheetViews>
  <sheetFormatPr defaultColWidth="9.140625" defaultRowHeight="12.75"/>
  <cols>
    <col min="1" max="1" width="3.140625" style="0" customWidth="1"/>
    <col min="2" max="2" width="2.7109375" style="0" customWidth="1"/>
    <col min="5" max="5" width="12.8515625" style="0" customWidth="1"/>
    <col min="6" max="6" width="10.421875" style="0" customWidth="1"/>
    <col min="7" max="7" width="13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115" t="s">
        <v>25</v>
      </c>
      <c r="B2" s="115"/>
      <c r="C2" s="115"/>
      <c r="D2" s="115"/>
      <c r="E2" s="115"/>
      <c r="F2" s="115"/>
      <c r="G2" s="115"/>
      <c r="H2" s="115"/>
      <c r="I2" s="115"/>
    </row>
    <row r="3" spans="1:9" ht="12.75">
      <c r="A3" s="115" t="s">
        <v>26</v>
      </c>
      <c r="B3" s="115"/>
      <c r="C3" s="115"/>
      <c r="D3" s="115"/>
      <c r="E3" s="115"/>
      <c r="F3" s="115"/>
      <c r="G3" s="115"/>
      <c r="H3" s="115"/>
      <c r="I3" s="115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116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.75">
      <c r="A6" s="32"/>
      <c r="B6" s="30"/>
      <c r="C6" s="27"/>
      <c r="D6" s="28"/>
      <c r="E6" s="28"/>
      <c r="F6" s="28"/>
      <c r="G6" s="31"/>
    </row>
    <row r="7" spans="1:7" ht="15.75">
      <c r="A7" s="60" t="s">
        <v>132</v>
      </c>
      <c r="B7" s="30"/>
      <c r="C7" s="27"/>
      <c r="D7" s="28"/>
      <c r="E7" s="28"/>
      <c r="F7" s="28"/>
      <c r="G7" s="31"/>
    </row>
    <row r="8" spans="1:7" ht="15.75">
      <c r="A8" s="60"/>
      <c r="B8" s="30"/>
      <c r="C8" s="27"/>
      <c r="D8" s="28"/>
      <c r="E8" s="28"/>
      <c r="F8" s="28"/>
      <c r="G8" s="31"/>
    </row>
    <row r="9" spans="1:10" ht="15.75">
      <c r="A9" s="60"/>
      <c r="B9" s="30"/>
      <c r="C9" s="27"/>
      <c r="D9" s="28"/>
      <c r="E9" s="28"/>
      <c r="F9" s="28"/>
      <c r="G9" s="31"/>
      <c r="J9" s="23" t="s">
        <v>69</v>
      </c>
    </row>
    <row r="10" spans="1:10" ht="15.75">
      <c r="A10" s="60"/>
      <c r="B10" s="30"/>
      <c r="C10" s="27"/>
      <c r="D10" s="28"/>
      <c r="E10" s="28"/>
      <c r="F10" s="28"/>
      <c r="G10" s="31"/>
      <c r="H10" s="73" t="s">
        <v>133</v>
      </c>
      <c r="I10" s="10"/>
      <c r="J10" s="23" t="s">
        <v>86</v>
      </c>
    </row>
    <row r="11" spans="1:10" ht="15.75">
      <c r="A11" s="60"/>
      <c r="B11" s="30"/>
      <c r="C11" s="27"/>
      <c r="D11" s="28"/>
      <c r="E11" s="28"/>
      <c r="F11" s="28"/>
      <c r="G11" s="31"/>
      <c r="H11" s="23" t="s">
        <v>19</v>
      </c>
      <c r="I11" s="10"/>
      <c r="J11" s="73" t="s">
        <v>134</v>
      </c>
    </row>
    <row r="12" spans="1:10" ht="15.75">
      <c r="A12" s="60"/>
      <c r="B12" s="30"/>
      <c r="C12" s="27"/>
      <c r="D12" s="28"/>
      <c r="E12" s="28"/>
      <c r="F12" s="28"/>
      <c r="G12" s="31"/>
      <c r="H12" s="72" t="s">
        <v>102</v>
      </c>
      <c r="I12" s="2"/>
      <c r="J12" s="70" t="s">
        <v>135</v>
      </c>
    </row>
    <row r="14" spans="8:10" ht="12.75">
      <c r="H14" s="23" t="s">
        <v>8</v>
      </c>
      <c r="J14" s="23" t="s">
        <v>8</v>
      </c>
    </row>
    <row r="15" ht="12.75">
      <c r="A15" s="4" t="s">
        <v>44</v>
      </c>
    </row>
    <row r="16" spans="2:10" ht="12.75">
      <c r="B16" s="54" t="s">
        <v>75</v>
      </c>
      <c r="H16" s="46">
        <f>'[5]cashflow'!$G$8+1</f>
        <v>9705.085786800782</v>
      </c>
      <c r="J16" s="46">
        <v>5848</v>
      </c>
    </row>
    <row r="17" spans="8:10" ht="12.75">
      <c r="H17" s="46"/>
      <c r="J17" s="46"/>
    </row>
    <row r="18" spans="2:10" ht="12.75">
      <c r="B18" s="54" t="s">
        <v>62</v>
      </c>
      <c r="H18" s="46"/>
      <c r="J18" s="46"/>
    </row>
    <row r="19" spans="3:10" ht="12.75">
      <c r="C19" t="s">
        <v>45</v>
      </c>
      <c r="H19" s="46">
        <f>'[5]cashflow'!$I$31</f>
        <v>-2356.7685438504996</v>
      </c>
      <c r="J19" s="46">
        <v>3273</v>
      </c>
    </row>
    <row r="20" spans="3:10" ht="12.75">
      <c r="C20" t="s">
        <v>46</v>
      </c>
      <c r="H20" s="46">
        <f>'[5]cashflow'!$G$22</f>
        <v>739.9251400000003</v>
      </c>
      <c r="J20" s="46">
        <v>667</v>
      </c>
    </row>
    <row r="21" spans="3:10" ht="12.75">
      <c r="C21" t="s">
        <v>47</v>
      </c>
      <c r="H21" s="46">
        <f>'[5]cashflow'!$G$23</f>
        <v>-1069.5099867095</v>
      </c>
      <c r="J21" s="46">
        <v>-1223</v>
      </c>
    </row>
    <row r="22" spans="8:10" ht="12.75">
      <c r="H22" s="52"/>
      <c r="J22" s="52"/>
    </row>
    <row r="23" spans="2:10" ht="12.75">
      <c r="B23" s="54" t="s">
        <v>77</v>
      </c>
      <c r="H23" s="46">
        <f>SUM(H16:H21)-1</f>
        <v>7017.732396240783</v>
      </c>
      <c r="J23" s="46">
        <f>SUM(J16:J21)</f>
        <v>8565</v>
      </c>
    </row>
    <row r="24" spans="8:10" ht="12.75">
      <c r="H24" s="46"/>
      <c r="J24" s="46"/>
    </row>
    <row r="25" spans="2:10" ht="12.75">
      <c r="B25" t="s">
        <v>48</v>
      </c>
      <c r="H25" s="46"/>
      <c r="J25" s="46"/>
    </row>
    <row r="26" spans="3:10" ht="12.75">
      <c r="C26" t="s">
        <v>49</v>
      </c>
      <c r="H26" s="46">
        <f>SUM('[5]cashflow'!$G$36:$G$44)-'[5]cashflow'!$G$37+'[5]cashflow'!$G$67*0-'[5]cashflow'!$G$42</f>
        <v>23362.37247888186</v>
      </c>
      <c r="J26" s="46">
        <v>3422</v>
      </c>
    </row>
    <row r="27" spans="3:10" ht="12.75">
      <c r="C27" t="s">
        <v>50</v>
      </c>
      <c r="H27" s="46">
        <f>'[5]cashflow'!$G$37</f>
        <v>-4646.601332235008</v>
      </c>
      <c r="J27" s="46">
        <v>-28014</v>
      </c>
    </row>
    <row r="28" spans="8:10" ht="12.75">
      <c r="H28" s="52"/>
      <c r="J28" s="52"/>
    </row>
    <row r="29" spans="2:10" ht="12.75">
      <c r="B29" s="14" t="s">
        <v>142</v>
      </c>
      <c r="H29" s="46">
        <f>SUM(H23:H27)-1</f>
        <v>25732.503542887636</v>
      </c>
      <c r="J29" s="46">
        <f>SUM(J23:J27)</f>
        <v>-16027</v>
      </c>
    </row>
    <row r="30" spans="8:10" ht="12.75">
      <c r="H30" s="46"/>
      <c r="J30" s="46"/>
    </row>
    <row r="31" spans="2:10" ht="12.75">
      <c r="B31" t="s">
        <v>46</v>
      </c>
      <c r="H31" s="46">
        <f>'[5]cashflow'!$G$48</f>
        <v>-2831.9251400000003</v>
      </c>
      <c r="J31" s="46">
        <v>-2759</v>
      </c>
    </row>
    <row r="32" spans="2:10" ht="12.75">
      <c r="B32" t="s">
        <v>47</v>
      </c>
      <c r="H32" s="46">
        <f>-H21</f>
        <v>1069.5099867095</v>
      </c>
      <c r="J32" s="46">
        <f>-J21</f>
        <v>1223</v>
      </c>
    </row>
    <row r="33" spans="2:10" ht="12.75">
      <c r="B33" t="s">
        <v>51</v>
      </c>
      <c r="H33" s="46">
        <f>'[5]cashflow'!$G$49</f>
        <v>-378.698264885</v>
      </c>
      <c r="J33" s="46">
        <v>-810</v>
      </c>
    </row>
    <row r="34" spans="8:10" ht="12.75">
      <c r="H34" s="52"/>
      <c r="J34" s="46"/>
    </row>
    <row r="35" spans="2:10" ht="12.75">
      <c r="B35" s="14" t="s">
        <v>143</v>
      </c>
      <c r="H35" s="55">
        <f>SUM(H29:H34)+1</f>
        <v>23592.39012471214</v>
      </c>
      <c r="J35" s="55">
        <f>SUM(J29:J34)</f>
        <v>-18373</v>
      </c>
    </row>
    <row r="36" spans="2:10" ht="12.75">
      <c r="B36" s="5" t="s">
        <v>3</v>
      </c>
      <c r="H36" s="46"/>
      <c r="J36" s="46"/>
    </row>
    <row r="37" spans="1:10" ht="12.75">
      <c r="A37" s="4" t="s">
        <v>52</v>
      </c>
      <c r="H37" s="46"/>
      <c r="J37" s="46"/>
    </row>
    <row r="38" spans="1:10" ht="12.75">
      <c r="A38" s="4"/>
      <c r="B38" t="s">
        <v>200</v>
      </c>
      <c r="H38" s="46">
        <f>'[5]cashflow'!$G$64</f>
        <v>504.84303</v>
      </c>
      <c r="J38" s="46">
        <v>0</v>
      </c>
    </row>
    <row r="39" spans="1:10" ht="12.75">
      <c r="A39" s="4"/>
      <c r="B39" s="54" t="s">
        <v>148</v>
      </c>
      <c r="H39" s="46"/>
      <c r="J39" s="46"/>
    </row>
    <row r="40" spans="1:10" ht="12.75">
      <c r="A40" s="4"/>
      <c r="B40" s="90" t="s">
        <v>100</v>
      </c>
      <c r="H40" s="46">
        <f>'[5]cashflow'!$G$59</f>
        <v>150</v>
      </c>
      <c r="J40" s="15">
        <v>0</v>
      </c>
    </row>
    <row r="41" spans="2:10" ht="12.75">
      <c r="B41" t="s">
        <v>53</v>
      </c>
      <c r="H41" s="46">
        <f>'[5]cashflow'!$G$56</f>
        <v>-4296.5427953385</v>
      </c>
      <c r="J41" s="46">
        <v>-1644</v>
      </c>
    </row>
    <row r="42" spans="2:10" ht="12.75">
      <c r="B42" t="s">
        <v>81</v>
      </c>
      <c r="H42" s="46">
        <f>'[5]cashflow'!$G$62</f>
        <v>-3161</v>
      </c>
      <c r="J42" s="46">
        <v>-626</v>
      </c>
    </row>
    <row r="43" spans="2:10" ht="12.75">
      <c r="B43" t="s">
        <v>54</v>
      </c>
      <c r="H43" s="46">
        <f>'[5]cashflow'!$G$55</f>
        <v>426.00451200650093</v>
      </c>
      <c r="J43" s="46">
        <v>2834</v>
      </c>
    </row>
    <row r="44" spans="2:10" ht="12.75">
      <c r="B44" s="54" t="s">
        <v>57</v>
      </c>
      <c r="H44" s="46">
        <f>'[5]cashflow'!$G$61</f>
        <v>551.3964500000001</v>
      </c>
      <c r="J44" s="46">
        <v>691</v>
      </c>
    </row>
    <row r="45" spans="8:10" ht="12.75">
      <c r="H45" s="46"/>
      <c r="J45" s="46"/>
    </row>
    <row r="46" spans="2:10" ht="12.75">
      <c r="B46" s="14" t="s">
        <v>87</v>
      </c>
      <c r="H46" s="55">
        <f>SUM(H39:H44)+H38-1</f>
        <v>-5826.298803331999</v>
      </c>
      <c r="J46" s="55">
        <f>J44+J43+J42+J41</f>
        <v>1255</v>
      </c>
    </row>
    <row r="47" spans="8:10" ht="12.75">
      <c r="H47" s="46"/>
      <c r="J47" s="46"/>
    </row>
    <row r="48" spans="1:10" ht="12.75">
      <c r="A48" s="4" t="s">
        <v>55</v>
      </c>
      <c r="H48" s="46"/>
      <c r="J48" s="46"/>
    </row>
    <row r="49" spans="1:10" ht="12.75">
      <c r="A49" s="4"/>
      <c r="B49" t="s">
        <v>56</v>
      </c>
      <c r="H49" s="46">
        <f>'[5]cashflow'!$G$71</f>
        <v>-6514.753090000013</v>
      </c>
      <c r="J49" s="46">
        <v>22129</v>
      </c>
    </row>
    <row r="50" spans="1:10" ht="12.75">
      <c r="A50" s="4"/>
      <c r="B50" t="s">
        <v>91</v>
      </c>
      <c r="H50" s="46">
        <f>'[5]cashflow'!$G$72</f>
        <v>5.0679999999993015</v>
      </c>
      <c r="J50" s="46">
        <v>0</v>
      </c>
    </row>
    <row r="51" spans="1:10" ht="12.75">
      <c r="A51" s="4"/>
      <c r="B51" t="s">
        <v>80</v>
      </c>
      <c r="H51" s="46">
        <f>'[5]cashflow'!$G$83*0+'[5]cashflow'!$G$73</f>
        <v>3707</v>
      </c>
      <c r="J51" s="46">
        <v>3500</v>
      </c>
    </row>
    <row r="52" spans="2:10" ht="12.75">
      <c r="B52" t="s">
        <v>83</v>
      </c>
      <c r="H52" s="46">
        <f>'[5]cashflow'!$G$74+'[5]cashflow'!$G$83*0</f>
        <v>-1183.9742754999997</v>
      </c>
      <c r="J52" s="46">
        <v>-2558</v>
      </c>
    </row>
    <row r="53" spans="2:10" ht="12.75">
      <c r="B53" s="54" t="s">
        <v>84</v>
      </c>
      <c r="H53" s="46">
        <f>'[5]cashflow'!$G$75</f>
        <v>-229.44645899999983</v>
      </c>
      <c r="J53" s="46">
        <v>-858</v>
      </c>
    </row>
    <row r="54" spans="8:10" ht="12.75">
      <c r="H54" s="46"/>
      <c r="J54" s="46"/>
    </row>
    <row r="55" spans="2:10" ht="12.75">
      <c r="B55" s="14" t="s">
        <v>136</v>
      </c>
      <c r="H55" s="55">
        <f>SUM(H49:H54)</f>
        <v>-4216.105824500013</v>
      </c>
      <c r="J55" s="55">
        <f>SUM(J49:J53)</f>
        <v>22213</v>
      </c>
    </row>
    <row r="56" spans="8:10" ht="12.75">
      <c r="H56" s="46"/>
      <c r="J56" s="46"/>
    </row>
    <row r="57" spans="1:10" ht="12.75">
      <c r="A57" s="14" t="s">
        <v>144</v>
      </c>
      <c r="H57" s="46">
        <f>H35+H46+H55</f>
        <v>13549.985496880126</v>
      </c>
      <c r="J57" s="46">
        <f>J35+J46+J55</f>
        <v>5095</v>
      </c>
    </row>
    <row r="58" spans="8:10" ht="12.75">
      <c r="H58" s="46"/>
      <c r="J58" s="46"/>
    </row>
    <row r="59" spans="1:10" ht="12.75">
      <c r="A59" s="14" t="s">
        <v>137</v>
      </c>
      <c r="H59" s="46">
        <f>'[5]cashflow'!$G$87</f>
        <v>112236</v>
      </c>
      <c r="J59" s="46">
        <v>125835</v>
      </c>
    </row>
    <row r="60" spans="1:10" ht="12.75">
      <c r="A60" s="4"/>
      <c r="H60" s="46"/>
      <c r="J60" s="46"/>
    </row>
    <row r="61" spans="1:10" ht="12.75">
      <c r="A61" s="4" t="s">
        <v>58</v>
      </c>
      <c r="H61" s="46">
        <f>'[5]cashflow'!$G$85</f>
        <v>20.867461500000218</v>
      </c>
      <c r="J61" s="46">
        <v>-76</v>
      </c>
    </row>
    <row r="62" spans="1:10" ht="12.75">
      <c r="A62" s="4"/>
      <c r="H62" s="46"/>
      <c r="J62" s="46"/>
    </row>
    <row r="63" spans="1:10" ht="13.5" thickBot="1">
      <c r="A63" s="14" t="s">
        <v>138</v>
      </c>
      <c r="H63" s="53">
        <f>SUM(H57:H61)</f>
        <v>125806.85295838013</v>
      </c>
      <c r="J63" s="53">
        <f>SUM(J57:J61)</f>
        <v>130854</v>
      </c>
    </row>
    <row r="64" ht="12.75">
      <c r="J64" s="46"/>
    </row>
    <row r="65" ht="12.75">
      <c r="J65" s="46"/>
    </row>
    <row r="66" spans="1:10" ht="12.75">
      <c r="A66" s="14" t="s">
        <v>59</v>
      </c>
      <c r="J66" s="46"/>
    </row>
    <row r="67" ht="12.75">
      <c r="J67" s="46"/>
    </row>
    <row r="68" spans="2:10" ht="12.75">
      <c r="B68" s="14" t="s">
        <v>90</v>
      </c>
      <c r="H68" s="46">
        <f>'[5]cashflow'!$G$94</f>
        <v>-2911.318</v>
      </c>
      <c r="J68" s="46">
        <v>-3582</v>
      </c>
    </row>
    <row r="69" spans="2:10" ht="12.75">
      <c r="B69" s="4" t="s">
        <v>17</v>
      </c>
      <c r="H69" s="46">
        <f>'[5]cashflow'!$G$92</f>
        <v>14812.325872972</v>
      </c>
      <c r="J69" s="46">
        <v>15585</v>
      </c>
    </row>
    <row r="70" spans="2:10" ht="12.75">
      <c r="B70" s="4" t="s">
        <v>60</v>
      </c>
      <c r="H70" s="46">
        <f>'[5]cashflow'!$G$93-1</f>
        <v>113905.95451860252</v>
      </c>
      <c r="J70" s="46">
        <v>118851</v>
      </c>
    </row>
    <row r="71" spans="8:10" ht="12.75">
      <c r="H71" s="46"/>
      <c r="J71" s="46"/>
    </row>
    <row r="72" spans="8:10" ht="13.5" thickBot="1">
      <c r="H72" s="53">
        <f>SUM(H68:H70)</f>
        <v>125806.96239157452</v>
      </c>
      <c r="J72" s="53">
        <f>SUM(J68:J70)</f>
        <v>130854</v>
      </c>
    </row>
    <row r="73" ht="12.75">
      <c r="H73" s="49"/>
    </row>
    <row r="74" ht="12.75">
      <c r="A74" s="14"/>
    </row>
    <row r="75" spans="1:11" ht="12.75">
      <c r="A75" s="113" t="s">
        <v>177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</row>
    <row r="76" spans="1:11" ht="12.75">
      <c r="A76" s="113" t="s">
        <v>178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</row>
    <row r="77" spans="1:12" ht="12.75">
      <c r="A77" s="113" t="s">
        <v>201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</row>
  </sheetData>
  <mergeCells count="6">
    <mergeCell ref="A76:K76"/>
    <mergeCell ref="A77:L77"/>
    <mergeCell ref="A1:I1"/>
    <mergeCell ref="A2:I2"/>
    <mergeCell ref="A3:I3"/>
    <mergeCell ref="A75:K75"/>
  </mergeCells>
  <printOptions/>
  <pageMargins left="1.19" right="0.24" top="0.33" bottom="0" header="0.24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6"/>
  <sheetViews>
    <sheetView tabSelected="1" zoomScale="75" zoomScaleNormal="75" workbookViewId="0" topLeftCell="A64">
      <selection activeCell="A41" sqref="A41"/>
    </sheetView>
  </sheetViews>
  <sheetFormatPr defaultColWidth="9.140625" defaultRowHeight="12.75"/>
  <cols>
    <col min="1" max="1" width="28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6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20" t="s">
        <v>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>
      <c r="A3" s="121" t="s">
        <v>25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2.75">
      <c r="A4" s="121" t="s">
        <v>26</v>
      </c>
      <c r="B4" s="121"/>
      <c r="C4" s="121"/>
      <c r="D4" s="121"/>
      <c r="E4" s="121"/>
      <c r="F4" s="121"/>
      <c r="G4" s="121"/>
      <c r="H4" s="121"/>
      <c r="I4" s="121"/>
      <c r="J4" s="121"/>
    </row>
    <row r="6" ht="12.75">
      <c r="A6" s="36">
        <v>39050</v>
      </c>
    </row>
    <row r="7" ht="12.75">
      <c r="A7" s="36"/>
    </row>
    <row r="8" ht="12.75">
      <c r="A8" s="37"/>
    </row>
    <row r="9" ht="12.75">
      <c r="A9" s="81" t="s">
        <v>73</v>
      </c>
    </row>
    <row r="10" ht="12.75">
      <c r="A10" s="37" t="s">
        <v>27</v>
      </c>
    </row>
    <row r="11" ht="12.75">
      <c r="A11" s="37" t="s">
        <v>28</v>
      </c>
    </row>
    <row r="12" ht="12.75">
      <c r="A12" s="37" t="s">
        <v>29</v>
      </c>
    </row>
    <row r="13" ht="12.75">
      <c r="A13" s="34"/>
    </row>
    <row r="15" spans="1:10" ht="13.5" thickBot="1">
      <c r="A15" s="58" t="s">
        <v>116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30</v>
      </c>
      <c r="B17" s="4"/>
      <c r="C17" s="4"/>
      <c r="D17" s="4"/>
      <c r="E17" s="4"/>
      <c r="F17" s="4"/>
      <c r="G17" s="4"/>
      <c r="H17" s="4"/>
      <c r="I17" s="4"/>
    </row>
    <row r="18" spans="1:9" ht="12.75">
      <c r="A18" s="29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25" t="s">
        <v>61</v>
      </c>
      <c r="E20" s="126"/>
      <c r="F20" s="127"/>
      <c r="G20" s="18"/>
      <c r="H20" s="122" t="s">
        <v>11</v>
      </c>
      <c r="I20" s="123"/>
      <c r="J20" s="124"/>
    </row>
    <row r="21" spans="1:10" ht="12.75">
      <c r="A21" s="4"/>
      <c r="B21" s="4"/>
      <c r="C21" s="4"/>
      <c r="D21" s="16">
        <v>2006</v>
      </c>
      <c r="E21" s="17"/>
      <c r="F21" s="63">
        <v>2005</v>
      </c>
      <c r="G21" s="23"/>
      <c r="H21" s="16">
        <v>2006</v>
      </c>
      <c r="I21" s="17"/>
      <c r="J21" s="63">
        <v>2005</v>
      </c>
    </row>
    <row r="22" spans="1:10" ht="12.75">
      <c r="A22" s="4"/>
      <c r="B22" s="4"/>
      <c r="C22" s="4"/>
      <c r="D22" s="69" t="s">
        <v>68</v>
      </c>
      <c r="E22" s="17"/>
      <c r="F22" s="63" t="s">
        <v>22</v>
      </c>
      <c r="G22" s="23"/>
      <c r="H22" s="16" t="s">
        <v>23</v>
      </c>
      <c r="I22" s="17"/>
      <c r="J22" s="82" t="s">
        <v>74</v>
      </c>
    </row>
    <row r="23" spans="1:10" ht="12.75">
      <c r="A23" s="4"/>
      <c r="B23" s="4"/>
      <c r="C23" s="4"/>
      <c r="D23" s="16" t="s">
        <v>19</v>
      </c>
      <c r="E23" s="17"/>
      <c r="F23" s="63" t="s">
        <v>20</v>
      </c>
      <c r="G23" s="23"/>
      <c r="H23" s="16" t="s">
        <v>19</v>
      </c>
      <c r="I23" s="17"/>
      <c r="J23" s="63" t="s">
        <v>24</v>
      </c>
    </row>
    <row r="24" spans="1:10" ht="12.75">
      <c r="A24" s="4"/>
      <c r="B24" s="4"/>
      <c r="C24" s="4"/>
      <c r="D24" s="62">
        <v>38990</v>
      </c>
      <c r="E24" s="20"/>
      <c r="F24" s="83">
        <v>38625</v>
      </c>
      <c r="G24" s="24"/>
      <c r="H24" s="62">
        <v>38990</v>
      </c>
      <c r="I24" s="68"/>
      <c r="J24" s="64">
        <v>38625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3">
        <f>H27</f>
        <v>36002.2908066145</v>
      </c>
      <c r="E27" s="47"/>
      <c r="F27" s="89">
        <v>39123</v>
      </c>
      <c r="G27" s="46"/>
      <c r="H27" s="93">
        <f>'[3]M-GER95A.XLS'!$U$127</f>
        <v>36002.2908066145</v>
      </c>
      <c r="I27" s="47"/>
      <c r="J27" s="85">
        <v>39123</v>
      </c>
      <c r="K27" s="49"/>
      <c r="O27" s="49"/>
      <c r="P27" s="49"/>
      <c r="Q27" s="49"/>
      <c r="R27" s="49"/>
    </row>
    <row r="28" spans="1:18" ht="12.75">
      <c r="A28" s="45"/>
      <c r="B28" s="46"/>
      <c r="C28" s="46"/>
      <c r="D28" s="93"/>
      <c r="E28" s="47"/>
      <c r="F28" s="89"/>
      <c r="G28" s="46"/>
      <c r="H28" s="93"/>
      <c r="I28" s="47"/>
      <c r="J28" s="48"/>
      <c r="K28" s="49"/>
      <c r="O28" s="49"/>
      <c r="P28" s="49"/>
      <c r="Q28" s="49"/>
      <c r="R28" s="49"/>
    </row>
    <row r="29" spans="1:18" ht="12.75">
      <c r="A29" s="45" t="s">
        <v>162</v>
      </c>
      <c r="B29" s="46"/>
      <c r="C29" s="46"/>
      <c r="D29" s="93">
        <f>H29</f>
        <v>-14462.5157216125</v>
      </c>
      <c r="E29" s="47"/>
      <c r="F29" s="89">
        <v>-16154</v>
      </c>
      <c r="G29" s="46"/>
      <c r="H29" s="93">
        <f>-'[3]M-GER95A.XLS'!$P$671-'[3]M-GER95A.XLS'!$P$682+2</f>
        <v>-14462.5157216125</v>
      </c>
      <c r="I29" s="47"/>
      <c r="J29" s="48">
        <v>-16154</v>
      </c>
      <c r="K29" s="49"/>
      <c r="O29" s="49"/>
      <c r="P29" s="49"/>
      <c r="Q29" s="49"/>
      <c r="R29" s="49"/>
    </row>
    <row r="30" spans="1:18" ht="12.75">
      <c r="A30" s="45"/>
      <c r="B30" s="46"/>
      <c r="C30" s="46"/>
      <c r="D30" s="93"/>
      <c r="E30" s="47"/>
      <c r="F30" s="89"/>
      <c r="G30" s="46"/>
      <c r="H30" s="93"/>
      <c r="I30" s="47"/>
      <c r="J30" s="48"/>
      <c r="K30" s="49"/>
      <c r="O30" s="49"/>
      <c r="P30" s="49"/>
      <c r="Q30" s="49"/>
      <c r="R30" s="49"/>
    </row>
    <row r="31" spans="1:18" ht="12.75">
      <c r="A31" s="45" t="s">
        <v>163</v>
      </c>
      <c r="B31" s="46"/>
      <c r="C31" s="46"/>
      <c r="D31" s="93">
        <f>H31</f>
        <v>-2229.049481688</v>
      </c>
      <c r="E31" s="47"/>
      <c r="F31" s="48">
        <v>-3809</v>
      </c>
      <c r="G31" s="46"/>
      <c r="H31" s="93">
        <f>-'[3]M-GER95A.XLS'!$P$685</f>
        <v>-2229.049481688</v>
      </c>
      <c r="I31" s="47"/>
      <c r="J31" s="48">
        <v>-3809</v>
      </c>
      <c r="K31" s="49"/>
      <c r="O31" s="49"/>
      <c r="P31" s="49"/>
      <c r="Q31" s="49"/>
      <c r="R31" s="49"/>
    </row>
    <row r="32" spans="1:18" ht="12.75">
      <c r="A32" s="45"/>
      <c r="B32" s="46"/>
      <c r="C32" s="46"/>
      <c r="D32" s="93"/>
      <c r="E32" s="47"/>
      <c r="F32" s="48"/>
      <c r="G32" s="46"/>
      <c r="H32" s="93"/>
      <c r="I32" s="47"/>
      <c r="J32" s="48"/>
      <c r="K32" s="49"/>
      <c r="O32" s="49"/>
      <c r="P32" s="49"/>
      <c r="Q32" s="49"/>
      <c r="R32" s="49"/>
    </row>
    <row r="33" spans="1:18" ht="12.75">
      <c r="A33" s="56" t="s">
        <v>164</v>
      </c>
      <c r="B33" s="46"/>
      <c r="C33" s="46"/>
      <c r="D33" s="93">
        <f>H33</f>
        <v>-18419.365435102503</v>
      </c>
      <c r="E33" s="47"/>
      <c r="F33" s="48">
        <v>-17509</v>
      </c>
      <c r="G33" s="46"/>
      <c r="H33" s="93">
        <f>-'[3]M-GER95A.XLS'!$P$689+2</f>
        <v>-18419.365435102503</v>
      </c>
      <c r="I33" s="47"/>
      <c r="J33" s="48">
        <v>-17509</v>
      </c>
      <c r="K33" s="49"/>
      <c r="O33" s="49"/>
      <c r="P33" s="49"/>
      <c r="Q33" s="49"/>
      <c r="R33" s="49"/>
    </row>
    <row r="34" spans="1:18" ht="12.75">
      <c r="A34" s="56"/>
      <c r="B34" s="46"/>
      <c r="C34" s="46"/>
      <c r="D34" s="93"/>
      <c r="E34" s="47"/>
      <c r="F34" s="48"/>
      <c r="G34" s="46"/>
      <c r="H34" s="93"/>
      <c r="I34" s="47"/>
      <c r="J34" s="48"/>
      <c r="K34" s="49"/>
      <c r="O34" s="49"/>
      <c r="P34" s="49"/>
      <c r="Q34" s="49"/>
      <c r="R34" s="49"/>
    </row>
    <row r="35" spans="1:18" ht="12.75">
      <c r="A35" s="45" t="s">
        <v>165</v>
      </c>
      <c r="D35" s="93">
        <f>H35</f>
        <v>4528.7921357725</v>
      </c>
      <c r="E35" s="47"/>
      <c r="F35" s="48">
        <v>4357</v>
      </c>
      <c r="G35" s="46"/>
      <c r="H35" s="93">
        <f>'[3]M-GER95A.XLS'!$N$648</f>
        <v>4528.7921357725</v>
      </c>
      <c r="I35" s="47"/>
      <c r="J35" s="48">
        <v>4357</v>
      </c>
      <c r="K35" s="49"/>
      <c r="O35" s="49"/>
      <c r="P35" s="49"/>
      <c r="Q35" s="49"/>
      <c r="R35" s="49"/>
    </row>
    <row r="36" spans="1:18" ht="12.75" hidden="1">
      <c r="A36" s="45"/>
      <c r="B36" s="46"/>
      <c r="C36" s="46"/>
      <c r="D36" s="93"/>
      <c r="E36" s="47"/>
      <c r="F36" s="48"/>
      <c r="G36" s="46"/>
      <c r="H36" s="93"/>
      <c r="I36" s="47"/>
      <c r="J36" s="48"/>
      <c r="K36" s="49"/>
      <c r="O36" s="49"/>
      <c r="P36" s="49"/>
      <c r="Q36" s="49"/>
      <c r="R36" s="49"/>
    </row>
    <row r="37" spans="1:18" ht="12.75" hidden="1">
      <c r="A37" s="56" t="s">
        <v>95</v>
      </c>
      <c r="B37" s="71"/>
      <c r="C37" s="71"/>
      <c r="D37" s="93">
        <f>SUM(D27:D35)-1</f>
        <v>5419.152303983997</v>
      </c>
      <c r="E37" s="47"/>
      <c r="F37" s="48">
        <f>SUM(F27:F35)</f>
        <v>6008</v>
      </c>
      <c r="G37" s="46"/>
      <c r="H37" s="93">
        <f>SUM(H27:H35)-1</f>
        <v>5419.152303983997</v>
      </c>
      <c r="I37" s="47"/>
      <c r="J37" s="48">
        <f>SUM(J27:J35)</f>
        <v>6008</v>
      </c>
      <c r="K37" s="49"/>
      <c r="O37" s="49"/>
      <c r="P37" s="49"/>
      <c r="Q37" s="49"/>
      <c r="R37" s="49"/>
    </row>
    <row r="38" spans="1:18" ht="12.75">
      <c r="A38" s="45"/>
      <c r="B38" s="46"/>
      <c r="C38" s="46"/>
      <c r="D38" s="93"/>
      <c r="E38" s="47"/>
      <c r="F38" s="48"/>
      <c r="G38" s="46"/>
      <c r="H38" s="93"/>
      <c r="I38" s="47"/>
      <c r="J38" s="48"/>
      <c r="K38" s="49"/>
      <c r="O38" s="49"/>
      <c r="P38" s="49"/>
      <c r="Q38" s="49"/>
      <c r="R38" s="49"/>
    </row>
    <row r="39" spans="1:18" ht="12.75">
      <c r="A39" s="45" t="s">
        <v>46</v>
      </c>
      <c r="B39" s="80" t="s">
        <v>63</v>
      </c>
      <c r="C39" s="71"/>
      <c r="D39" s="93">
        <f>H39</f>
        <v>-739.9251400000003</v>
      </c>
      <c r="E39" s="47"/>
      <c r="F39" s="48">
        <v>-667</v>
      </c>
      <c r="G39" s="46"/>
      <c r="H39" s="93">
        <f>-'[3]M-GER95A.XLS'!$P$695</f>
        <v>-739.9251400000003</v>
      </c>
      <c r="I39" s="47"/>
      <c r="J39" s="48">
        <v>-667</v>
      </c>
      <c r="K39" s="49"/>
      <c r="O39" s="49"/>
      <c r="P39" s="49"/>
      <c r="Q39" s="49"/>
      <c r="R39" s="49"/>
    </row>
    <row r="40" spans="1:18" ht="12.75">
      <c r="A40" s="45"/>
      <c r="B40" s="80"/>
      <c r="C40" s="71"/>
      <c r="D40" s="93"/>
      <c r="E40" s="47"/>
      <c r="F40" s="48"/>
      <c r="G40" s="46"/>
      <c r="H40" s="93"/>
      <c r="I40" s="47"/>
      <c r="J40" s="48"/>
      <c r="K40" s="49"/>
      <c r="O40" s="49"/>
      <c r="P40" s="49"/>
      <c r="Q40" s="49"/>
      <c r="R40" s="49"/>
    </row>
    <row r="41" spans="1:18" ht="12.75">
      <c r="A41" s="56" t="s">
        <v>166</v>
      </c>
      <c r="B41" s="80" t="s">
        <v>76</v>
      </c>
      <c r="C41" s="71"/>
      <c r="D41" s="93">
        <f>H41</f>
        <v>4151</v>
      </c>
      <c r="E41" s="47"/>
      <c r="F41" s="48">
        <f>J41</f>
        <v>0</v>
      </c>
      <c r="G41" s="46"/>
      <c r="H41" s="93">
        <f>'[3]M-GER95A.XLS'!$U$231</f>
        <v>4151</v>
      </c>
      <c r="I41" s="47"/>
      <c r="J41" s="85">
        <v>0</v>
      </c>
      <c r="K41" s="49"/>
      <c r="O41" s="49"/>
      <c r="P41" s="49"/>
      <c r="Q41" s="49"/>
      <c r="R41" s="49"/>
    </row>
    <row r="42" spans="1:18" ht="12.75">
      <c r="A42" s="45"/>
      <c r="B42" s="46"/>
      <c r="C42" s="46"/>
      <c r="D42" s="93"/>
      <c r="E42" s="47"/>
      <c r="F42" s="48"/>
      <c r="G42" s="46"/>
      <c r="H42" s="93"/>
      <c r="I42" s="47"/>
      <c r="J42" s="48"/>
      <c r="K42" s="49"/>
      <c r="O42" s="49"/>
      <c r="P42" s="49"/>
      <c r="Q42" s="49"/>
      <c r="R42" s="49"/>
    </row>
    <row r="43" spans="1:18" ht="12.75">
      <c r="A43" s="56" t="s">
        <v>139</v>
      </c>
      <c r="B43" s="46"/>
      <c r="C43" s="46"/>
      <c r="D43" s="93"/>
      <c r="E43" s="47"/>
      <c r="F43" s="48"/>
      <c r="G43" s="46"/>
      <c r="H43" s="93"/>
      <c r="I43" s="47"/>
      <c r="J43" s="48"/>
      <c r="K43" s="49"/>
      <c r="O43" s="49"/>
      <c r="P43" s="49"/>
      <c r="Q43" s="49"/>
      <c r="R43" s="49"/>
    </row>
    <row r="44" spans="1:18" ht="12.75">
      <c r="A44" s="56" t="s">
        <v>140</v>
      </c>
      <c r="B44" s="46"/>
      <c r="C44" s="46"/>
      <c r="D44" s="94">
        <f>H44</f>
        <v>874.1058660000003</v>
      </c>
      <c r="E44" s="47"/>
      <c r="F44" s="51">
        <v>507</v>
      </c>
      <c r="G44" s="46"/>
      <c r="H44" s="94">
        <f>'[3]M-GER95A.XLS'!$U$232+'[3]M-GER95A.XLS'!$R$234</f>
        <v>874.1058660000003</v>
      </c>
      <c r="I44" s="47"/>
      <c r="J44" s="51">
        <v>507</v>
      </c>
      <c r="K44" s="49"/>
      <c r="O44" s="49"/>
      <c r="P44" s="49"/>
      <c r="Q44" s="49"/>
      <c r="R44" s="49"/>
    </row>
    <row r="45" spans="1:18" ht="12.75">
      <c r="A45" s="45"/>
      <c r="B45" s="46"/>
      <c r="C45" s="46"/>
      <c r="D45" s="93"/>
      <c r="E45" s="47"/>
      <c r="F45" s="48"/>
      <c r="G45" s="46"/>
      <c r="H45" s="93"/>
      <c r="I45" s="47"/>
      <c r="J45" s="48"/>
      <c r="K45" s="49"/>
      <c r="O45" s="49"/>
      <c r="P45" s="49"/>
      <c r="Q45" s="49"/>
      <c r="R45" s="49"/>
    </row>
    <row r="46" spans="1:18" ht="12.75">
      <c r="A46" s="56" t="s">
        <v>167</v>
      </c>
      <c r="B46" s="80" t="s">
        <v>149</v>
      </c>
      <c r="C46" s="46"/>
      <c r="D46" s="93">
        <f>SUM(D37:D44)+1</f>
        <v>9705.333029983996</v>
      </c>
      <c r="E46" s="47"/>
      <c r="F46" s="48">
        <f>SUM(F37:F44)</f>
        <v>5848</v>
      </c>
      <c r="G46" s="46"/>
      <c r="H46" s="93">
        <f>SUM(H37:H44)+1</f>
        <v>9705.333029983996</v>
      </c>
      <c r="I46" s="47"/>
      <c r="J46" s="48">
        <f>SUM(J37:J44)</f>
        <v>5848</v>
      </c>
      <c r="K46" s="49"/>
      <c r="O46" s="49"/>
      <c r="P46" s="49"/>
      <c r="Q46" s="49"/>
      <c r="R46" s="49"/>
    </row>
    <row r="47" spans="1:18" ht="12.75">
      <c r="A47" s="45"/>
      <c r="B47" s="46"/>
      <c r="C47" s="46"/>
      <c r="D47" s="93"/>
      <c r="E47" s="47"/>
      <c r="F47" s="48"/>
      <c r="G47" s="46"/>
      <c r="H47" s="93"/>
      <c r="I47" s="47"/>
      <c r="J47" s="48"/>
      <c r="K47" s="49"/>
      <c r="O47" s="49"/>
      <c r="P47" s="49"/>
      <c r="Q47" s="49"/>
      <c r="R47" s="49"/>
    </row>
    <row r="48" spans="1:18" ht="12.75">
      <c r="A48" s="45" t="s">
        <v>7</v>
      </c>
      <c r="B48" s="46"/>
      <c r="C48" s="46"/>
      <c r="D48" s="94">
        <f>H48</f>
        <v>-401.7204134999999</v>
      </c>
      <c r="E48" s="47"/>
      <c r="F48" s="51">
        <v>-417</v>
      </c>
      <c r="G48" s="46"/>
      <c r="H48" s="94">
        <f>'[3]M-GER95A.XLS'!$U$234-'[3]M-GER95A.XLS'!$R$234</f>
        <v>-401.7204134999999</v>
      </c>
      <c r="I48" s="47"/>
      <c r="J48" s="51">
        <v>-417</v>
      </c>
      <c r="K48" s="49"/>
      <c r="O48" s="49"/>
      <c r="P48" s="49"/>
      <c r="Q48" s="49"/>
      <c r="R48" s="49"/>
    </row>
    <row r="49" spans="1:18" ht="12.75">
      <c r="A49" s="45"/>
      <c r="B49" s="46"/>
      <c r="C49" s="46"/>
      <c r="D49" s="93"/>
      <c r="E49" s="47"/>
      <c r="F49" s="48"/>
      <c r="G49" s="46"/>
      <c r="H49" s="93"/>
      <c r="I49" s="47"/>
      <c r="J49" s="48"/>
      <c r="K49" s="49"/>
      <c r="O49" s="49"/>
      <c r="P49" s="49"/>
      <c r="Q49" s="49"/>
      <c r="R49" s="49"/>
    </row>
    <row r="50" spans="1:18" ht="13.5" thickBot="1">
      <c r="A50" s="56" t="s">
        <v>168</v>
      </c>
      <c r="B50" s="46"/>
      <c r="C50" s="46"/>
      <c r="D50" s="109">
        <f>SUM(D46:D48)-1</f>
        <v>9302.612616483997</v>
      </c>
      <c r="E50" s="47"/>
      <c r="F50" s="110">
        <f>SUM(F46:F48)</f>
        <v>5431</v>
      </c>
      <c r="G50" s="46"/>
      <c r="H50" s="109">
        <f>SUM(H46:H48)-1</f>
        <v>9302.612616483997</v>
      </c>
      <c r="I50" s="47"/>
      <c r="J50" s="110">
        <f>SUM(J46:J48)</f>
        <v>5431</v>
      </c>
      <c r="K50" s="49"/>
      <c r="O50" s="49"/>
      <c r="P50" s="49"/>
      <c r="Q50" s="49"/>
      <c r="R50" s="49"/>
    </row>
    <row r="51" spans="1:18" ht="12.75">
      <c r="A51" s="45"/>
      <c r="B51" s="46"/>
      <c r="C51" s="46"/>
      <c r="D51" s="93"/>
      <c r="E51" s="47"/>
      <c r="F51" s="48"/>
      <c r="G51" s="46"/>
      <c r="H51" s="93"/>
      <c r="I51" s="47"/>
      <c r="J51" s="48"/>
      <c r="K51" s="49"/>
      <c r="O51" s="49"/>
      <c r="P51" s="49"/>
      <c r="Q51" s="49"/>
      <c r="R51" s="49"/>
    </row>
    <row r="52" spans="1:18" ht="12.75">
      <c r="A52" s="56" t="s">
        <v>127</v>
      </c>
      <c r="B52" s="46"/>
      <c r="C52" s="46"/>
      <c r="D52" s="93"/>
      <c r="E52" s="47"/>
      <c r="F52" s="48"/>
      <c r="G52" s="46"/>
      <c r="H52" s="93"/>
      <c r="I52" s="47"/>
      <c r="J52" s="48"/>
      <c r="K52" s="49"/>
      <c r="O52" s="49"/>
      <c r="P52" s="49"/>
      <c r="Q52" s="49"/>
      <c r="R52" s="49"/>
    </row>
    <row r="53" spans="1:18" ht="12.75">
      <c r="A53" s="56" t="s">
        <v>169</v>
      </c>
      <c r="B53" s="46"/>
      <c r="C53" s="46"/>
      <c r="D53" s="93">
        <f>H53</f>
        <v>9168.852797643187</v>
      </c>
      <c r="E53" s="47"/>
      <c r="F53" s="48">
        <v>4741</v>
      </c>
      <c r="G53" s="46"/>
      <c r="H53" s="93">
        <f>'[3]M-GER95A.XLS'!$U$240+'[3]M-GER95A.XLS'!$U$242+3</f>
        <v>9168.852797643187</v>
      </c>
      <c r="I53" s="47"/>
      <c r="J53" s="48">
        <v>4741</v>
      </c>
      <c r="K53" s="49"/>
      <c r="O53" s="49"/>
      <c r="P53" s="49"/>
      <c r="Q53" s="49"/>
      <c r="R53" s="49"/>
    </row>
    <row r="54" spans="1:18" ht="12.75">
      <c r="A54" s="45" t="s">
        <v>170</v>
      </c>
      <c r="B54" s="46"/>
      <c r="C54" s="46"/>
      <c r="D54" s="93">
        <f>H54</f>
        <v>133.589940775314</v>
      </c>
      <c r="E54" s="47"/>
      <c r="F54" s="48">
        <v>690</v>
      </c>
      <c r="G54" s="46"/>
      <c r="H54" s="93">
        <f>-'[3]M-GER95A.XLS'!$U$242+'[3]M-GER95A.XLS'!$U$244-1</f>
        <v>133.589940775314</v>
      </c>
      <c r="I54" s="47"/>
      <c r="J54" s="48">
        <v>690</v>
      </c>
      <c r="K54" s="49"/>
      <c r="O54" s="49"/>
      <c r="P54" s="49"/>
      <c r="Q54" s="49"/>
      <c r="R54" s="49"/>
    </row>
    <row r="55" spans="1:18" ht="12.75">
      <c r="A55" s="45"/>
      <c r="B55" s="46"/>
      <c r="C55" s="46"/>
      <c r="D55" s="93"/>
      <c r="E55" s="47"/>
      <c r="F55" s="48"/>
      <c r="G55" s="46"/>
      <c r="H55" s="93"/>
      <c r="I55" s="47"/>
      <c r="J55" s="48"/>
      <c r="K55" s="49"/>
      <c r="O55" s="49"/>
      <c r="P55" s="49"/>
      <c r="Q55" s="49"/>
      <c r="R55" s="49"/>
    </row>
    <row r="56" spans="1:18" ht="13.5" thickBot="1">
      <c r="A56" s="56"/>
      <c r="B56" s="46"/>
      <c r="C56" s="46"/>
      <c r="D56" s="95">
        <f>D54+D53+1</f>
        <v>9303.4427384185</v>
      </c>
      <c r="E56" s="47"/>
      <c r="F56" s="66">
        <f>SUM(F53:F55)</f>
        <v>5431</v>
      </c>
      <c r="G56" s="46"/>
      <c r="H56" s="95">
        <f>H54+H53+1</f>
        <v>9303.4427384185</v>
      </c>
      <c r="I56" s="47"/>
      <c r="J56" s="66">
        <f>J54+J53</f>
        <v>5431</v>
      </c>
      <c r="K56" s="49"/>
      <c r="O56" s="49"/>
      <c r="P56" s="49"/>
      <c r="Q56" s="49"/>
      <c r="R56" s="49"/>
    </row>
    <row r="57" spans="1:18" ht="12.75">
      <c r="A57" s="45"/>
      <c r="B57" s="46"/>
      <c r="C57" s="46"/>
      <c r="D57" s="93"/>
      <c r="E57" s="47"/>
      <c r="F57" s="48"/>
      <c r="G57" s="46"/>
      <c r="H57" s="93"/>
      <c r="I57" s="47"/>
      <c r="J57" s="48"/>
      <c r="O57" s="49"/>
      <c r="P57" s="49"/>
      <c r="Q57" s="49"/>
      <c r="R57" s="49"/>
    </row>
    <row r="58" spans="1:18" ht="12.75">
      <c r="A58" s="56" t="s">
        <v>131</v>
      </c>
      <c r="B58" s="46"/>
      <c r="C58" s="46"/>
      <c r="D58" s="93"/>
      <c r="E58" s="47"/>
      <c r="F58" s="48"/>
      <c r="G58" s="46"/>
      <c r="H58" s="93"/>
      <c r="I58" s="47"/>
      <c r="J58" s="67"/>
      <c r="K58" s="49"/>
      <c r="O58" s="49"/>
      <c r="P58" s="49"/>
      <c r="Q58" s="49"/>
      <c r="R58" s="49"/>
    </row>
    <row r="59" spans="1:18" ht="12.75">
      <c r="A59" s="50" t="s">
        <v>31</v>
      </c>
      <c r="B59" s="46"/>
      <c r="C59" s="46"/>
      <c r="D59" s="98">
        <f>H59-L59-M59-N59</f>
        <v>1.515162096764535</v>
      </c>
      <c r="E59" s="47"/>
      <c r="F59" s="87">
        <f>J59</f>
        <v>0.78</v>
      </c>
      <c r="G59" s="46"/>
      <c r="H59" s="96">
        <f>'[4]June06'!$C$46</f>
        <v>1.515162096764535</v>
      </c>
      <c r="I59" s="47"/>
      <c r="J59" s="67">
        <v>0.78</v>
      </c>
      <c r="K59" s="49"/>
      <c r="O59" s="49"/>
      <c r="P59" s="49"/>
      <c r="Q59" s="49"/>
      <c r="R59" s="49"/>
    </row>
    <row r="60" spans="1:18" ht="12.75">
      <c r="A60" s="50" t="s">
        <v>32</v>
      </c>
      <c r="B60" s="46"/>
      <c r="C60" s="46"/>
      <c r="D60" s="98">
        <f>H60-L60-M60-N60</f>
        <v>1.2933066731774472</v>
      </c>
      <c r="E60" s="47"/>
      <c r="F60" s="87">
        <f>J60</f>
        <v>0.67</v>
      </c>
      <c r="G60" s="46"/>
      <c r="H60" s="96">
        <f>'[4]June06'!$C$58</f>
        <v>1.2933066731774472</v>
      </c>
      <c r="I60" s="47"/>
      <c r="J60" s="67">
        <v>0.67</v>
      </c>
      <c r="K60" s="49"/>
      <c r="O60" s="49"/>
      <c r="P60" s="49"/>
      <c r="Q60" s="49"/>
      <c r="R60" s="49"/>
    </row>
    <row r="61" spans="1:18" ht="12.75">
      <c r="A61" s="45"/>
      <c r="B61" s="46"/>
      <c r="C61" s="46"/>
      <c r="D61" s="94"/>
      <c r="E61" s="52"/>
      <c r="F61" s="51"/>
      <c r="G61" s="46"/>
      <c r="H61" s="94"/>
      <c r="I61" s="52"/>
      <c r="J61" s="51"/>
      <c r="K61" s="49"/>
      <c r="O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O62" s="49"/>
      <c r="P62" s="49"/>
      <c r="Q62" s="49"/>
      <c r="R62" s="49"/>
    </row>
    <row r="63" spans="1:18" ht="12.75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9"/>
      <c r="O63" s="49"/>
      <c r="P63" s="49"/>
      <c r="Q63" s="49"/>
      <c r="R63" s="49"/>
    </row>
    <row r="64" spans="1:18" ht="12.7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9"/>
      <c r="O64" s="49"/>
      <c r="P64" s="49"/>
      <c r="Q64" s="49"/>
      <c r="R64" s="49"/>
    </row>
    <row r="65" spans="1:18" ht="12.75">
      <c r="A65" s="56" t="s">
        <v>67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O65" s="49"/>
      <c r="P65" s="49"/>
      <c r="Q65" s="49"/>
      <c r="R65" s="49"/>
    </row>
    <row r="66" spans="1:18" ht="12.75">
      <c r="A66" s="57" t="s">
        <v>171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O66" s="49"/>
      <c r="P66" s="49"/>
      <c r="Q66" s="49"/>
      <c r="R66" s="49"/>
    </row>
    <row r="67" spans="1:18" ht="12.75">
      <c r="A67" s="57" t="s">
        <v>179</v>
      </c>
      <c r="B67" s="46"/>
      <c r="C67" s="46"/>
      <c r="D67" s="46"/>
      <c r="E67" s="46"/>
      <c r="F67" s="46"/>
      <c r="G67" s="46"/>
      <c r="H67" s="46"/>
      <c r="I67" s="46"/>
      <c r="J67" s="46"/>
      <c r="K67" s="49"/>
      <c r="O67" s="49"/>
      <c r="P67" s="49"/>
      <c r="Q67" s="49"/>
      <c r="R67" s="49"/>
    </row>
    <row r="68" spans="1:18" ht="12.75">
      <c r="A68" s="57" t="s">
        <v>89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O68" s="49"/>
      <c r="P68" s="49"/>
      <c r="Q68" s="49"/>
      <c r="R68" s="49"/>
    </row>
    <row r="69" spans="1:18" ht="12.75">
      <c r="A69" s="45"/>
      <c r="B69" s="46"/>
      <c r="C69" s="46"/>
      <c r="D69" s="46"/>
      <c r="E69" s="46"/>
      <c r="F69" s="46"/>
      <c r="G69" s="46"/>
      <c r="H69" s="46"/>
      <c r="I69" s="46"/>
      <c r="J69" s="46"/>
      <c r="K69" s="49"/>
      <c r="O69" s="49"/>
      <c r="P69" s="49"/>
      <c r="Q69" s="49"/>
      <c r="R69" s="49"/>
    </row>
    <row r="70" spans="1:18" ht="12.75">
      <c r="A70" s="56" t="s">
        <v>70</v>
      </c>
      <c r="B70" s="46"/>
      <c r="C70" s="46"/>
      <c r="D70" s="46"/>
      <c r="E70" s="46"/>
      <c r="F70" s="46"/>
      <c r="G70" s="46"/>
      <c r="H70" s="46"/>
      <c r="I70" s="46"/>
      <c r="J70" s="46"/>
      <c r="K70" s="49"/>
      <c r="O70" s="49"/>
      <c r="P70" s="49"/>
      <c r="Q70" s="49"/>
      <c r="R70" s="49"/>
    </row>
    <row r="71" spans="1:18" ht="12.75">
      <c r="A71" s="57" t="s">
        <v>172</v>
      </c>
      <c r="B71" s="46"/>
      <c r="C71" s="46"/>
      <c r="D71" s="86" t="s">
        <v>82</v>
      </c>
      <c r="F71" s="86" t="s">
        <v>82</v>
      </c>
      <c r="G71" s="46"/>
      <c r="H71" s="77" t="s">
        <v>130</v>
      </c>
      <c r="I71" s="76"/>
      <c r="J71" s="77" t="s">
        <v>130</v>
      </c>
      <c r="K71" s="49"/>
      <c r="O71" s="49"/>
      <c r="P71" s="49"/>
      <c r="Q71" s="49"/>
      <c r="R71" s="49"/>
    </row>
    <row r="72" spans="1:18" ht="12.75">
      <c r="A72" s="45"/>
      <c r="B72" s="46"/>
      <c r="C72" s="46"/>
      <c r="D72" s="78" t="s">
        <v>128</v>
      </c>
      <c r="E72" s="74"/>
      <c r="F72" s="79" t="s">
        <v>129</v>
      </c>
      <c r="G72" s="46"/>
      <c r="H72" s="78" t="str">
        <f>D72</f>
        <v>30/9/2006</v>
      </c>
      <c r="I72" s="74"/>
      <c r="J72" s="79" t="str">
        <f>F72</f>
        <v>30/9/2005</v>
      </c>
      <c r="K72" s="49"/>
      <c r="O72" s="49"/>
      <c r="P72" s="49"/>
      <c r="Q72" s="49"/>
      <c r="R72" s="49"/>
    </row>
    <row r="73" spans="1:18" ht="12.75">
      <c r="A73" s="45"/>
      <c r="B73" s="46"/>
      <c r="C73" s="46"/>
      <c r="D73" s="61" t="s">
        <v>8</v>
      </c>
      <c r="E73" s="46"/>
      <c r="F73" s="61" t="s">
        <v>8</v>
      </c>
      <c r="G73" s="46"/>
      <c r="H73" s="61" t="s">
        <v>8</v>
      </c>
      <c r="I73" s="46"/>
      <c r="J73" s="61" t="s">
        <v>8</v>
      </c>
      <c r="K73" s="49"/>
      <c r="O73" s="49"/>
      <c r="P73" s="49"/>
      <c r="Q73" s="49"/>
      <c r="R73" s="49"/>
    </row>
    <row r="74" spans="1:18" ht="12.75">
      <c r="A74" s="57"/>
      <c r="B74" s="46"/>
      <c r="C74" s="46"/>
      <c r="D74" s="49"/>
      <c r="F74" s="49"/>
      <c r="G74" s="46"/>
      <c r="H74" s="49"/>
      <c r="I74" s="46"/>
      <c r="J74" s="61"/>
      <c r="K74" s="49"/>
      <c r="O74" s="49"/>
      <c r="P74" s="49"/>
      <c r="Q74" s="49"/>
      <c r="R74" s="49"/>
    </row>
    <row r="75" spans="1:18" ht="12.75">
      <c r="A75" s="57" t="s">
        <v>180</v>
      </c>
      <c r="B75" s="46"/>
      <c r="C75" s="46"/>
      <c r="D75" s="49"/>
      <c r="F75" s="49"/>
      <c r="G75" s="46"/>
      <c r="H75" s="49"/>
      <c r="I75" s="46"/>
      <c r="J75" s="61"/>
      <c r="K75" s="49"/>
      <c r="O75" s="49"/>
      <c r="P75" s="49"/>
      <c r="Q75" s="49"/>
      <c r="R75" s="49"/>
    </row>
    <row r="76" spans="1:18" ht="13.5" thickBot="1">
      <c r="A76" s="57" t="s">
        <v>181</v>
      </c>
      <c r="B76" s="46"/>
      <c r="C76" s="46"/>
      <c r="D76" s="91">
        <f>D41</f>
        <v>4151</v>
      </c>
      <c r="F76" s="111">
        <v>0</v>
      </c>
      <c r="G76" s="20"/>
      <c r="H76" s="88">
        <f>H41</f>
        <v>4151</v>
      </c>
      <c r="I76" s="47"/>
      <c r="J76" s="111">
        <v>0</v>
      </c>
      <c r="K76" s="84"/>
      <c r="O76" s="49"/>
      <c r="P76" s="49"/>
      <c r="Q76" s="49"/>
      <c r="R76" s="49"/>
    </row>
    <row r="77" spans="1:18" ht="13.5" thickTop="1">
      <c r="A77" s="45"/>
      <c r="B77" s="46"/>
      <c r="C77" s="46"/>
      <c r="K77" s="84"/>
      <c r="O77" s="49"/>
      <c r="P77" s="49"/>
      <c r="Q77" s="49"/>
      <c r="R77" s="49"/>
    </row>
    <row r="78" spans="1:18" ht="12.75">
      <c r="A78" s="45"/>
      <c r="B78" s="46"/>
      <c r="C78" s="46"/>
      <c r="H78" s="47"/>
      <c r="I78" s="47"/>
      <c r="J78" s="47"/>
      <c r="K78" s="84"/>
      <c r="O78" s="49"/>
      <c r="P78" s="49"/>
      <c r="Q78" s="49"/>
      <c r="R78" s="49"/>
    </row>
    <row r="79" spans="1:18" ht="12.75">
      <c r="A79" s="56" t="s">
        <v>150</v>
      </c>
      <c r="B79" s="46"/>
      <c r="C79" s="46"/>
      <c r="D79" s="46"/>
      <c r="E79" s="46"/>
      <c r="F79" s="46"/>
      <c r="G79" s="46"/>
      <c r="H79" s="46"/>
      <c r="I79" s="46"/>
      <c r="J79" s="46"/>
      <c r="K79" s="49"/>
      <c r="O79" s="49"/>
      <c r="P79" s="49"/>
      <c r="Q79" s="49"/>
      <c r="R79" s="49"/>
    </row>
    <row r="80" spans="1:18" ht="12.75">
      <c r="A80" s="57" t="s">
        <v>173</v>
      </c>
      <c r="B80" s="46"/>
      <c r="C80" s="46"/>
      <c r="D80" s="46"/>
      <c r="E80" s="46"/>
      <c r="F80" s="46"/>
      <c r="G80" s="46"/>
      <c r="H80" s="46"/>
      <c r="I80" s="46"/>
      <c r="J80" s="46"/>
      <c r="K80" s="49"/>
      <c r="O80" s="49"/>
      <c r="P80" s="49"/>
      <c r="Q80" s="49"/>
      <c r="R80" s="49"/>
    </row>
    <row r="81" spans="1:18" ht="12.75">
      <c r="A81" s="57"/>
      <c r="B81" s="46"/>
      <c r="C81" s="46"/>
      <c r="D81" s="46"/>
      <c r="E81" s="46"/>
      <c r="F81" s="46"/>
      <c r="G81" s="46"/>
      <c r="H81" s="46"/>
      <c r="I81" s="46"/>
      <c r="J81" s="46"/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57"/>
      <c r="B82" s="46"/>
      <c r="C82" s="46"/>
      <c r="D82" s="86" t="s">
        <v>82</v>
      </c>
      <c r="F82" s="86" t="s">
        <v>82</v>
      </c>
      <c r="G82" s="46"/>
      <c r="H82" s="77" t="str">
        <f>H71</f>
        <v>Period ended</v>
      </c>
      <c r="I82" s="76"/>
      <c r="J82" s="77" t="str">
        <f>J71</f>
        <v>Period ended</v>
      </c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57"/>
      <c r="B83" s="46"/>
      <c r="C83" s="46"/>
      <c r="D83" s="78" t="str">
        <f>D72</f>
        <v>30/9/2006</v>
      </c>
      <c r="E83" s="74"/>
      <c r="F83" s="79" t="str">
        <f>F72</f>
        <v>30/9/2005</v>
      </c>
      <c r="G83" s="46"/>
      <c r="H83" s="78" t="str">
        <f>D83</f>
        <v>30/9/2006</v>
      </c>
      <c r="I83" s="74"/>
      <c r="J83" s="79" t="str">
        <f>F83</f>
        <v>30/9/2005</v>
      </c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57"/>
      <c r="B84" s="46"/>
      <c r="C84" s="46"/>
      <c r="D84" s="61" t="s">
        <v>8</v>
      </c>
      <c r="E84" s="46"/>
      <c r="F84" s="61" t="s">
        <v>8</v>
      </c>
      <c r="G84" s="46"/>
      <c r="H84" s="61" t="s">
        <v>8</v>
      </c>
      <c r="I84" s="46"/>
      <c r="J84" s="61" t="s">
        <v>8</v>
      </c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57"/>
      <c r="B85" s="46"/>
      <c r="C85" s="46"/>
      <c r="G85" s="46"/>
      <c r="H85" s="61"/>
      <c r="I85" s="46"/>
      <c r="J85" s="61"/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57" t="s">
        <v>96</v>
      </c>
      <c r="B86" s="46"/>
      <c r="C86" s="46"/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57" t="s">
        <v>97</v>
      </c>
      <c r="B87" s="46"/>
      <c r="C87" s="46"/>
      <c r="D87" s="46">
        <v>-1372</v>
      </c>
      <c r="F87" s="46">
        <v>653</v>
      </c>
      <c r="G87" s="46"/>
      <c r="H87" s="46">
        <v>-1372</v>
      </c>
      <c r="I87" s="46"/>
      <c r="J87" s="46">
        <v>653</v>
      </c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57" t="s">
        <v>98</v>
      </c>
      <c r="B88" s="46"/>
      <c r="C88" s="46"/>
      <c r="D88" s="46">
        <v>306</v>
      </c>
      <c r="F88" s="15">
        <v>-184</v>
      </c>
      <c r="G88" s="46"/>
      <c r="H88" s="46">
        <v>306</v>
      </c>
      <c r="I88" s="46"/>
      <c r="J88" s="15">
        <v>-184</v>
      </c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57" t="s">
        <v>99</v>
      </c>
      <c r="B89" s="46"/>
      <c r="C89" s="46"/>
      <c r="K89" s="49"/>
      <c r="L89" s="49"/>
      <c r="M89" s="49"/>
      <c r="N89" s="49"/>
      <c r="O89" s="49"/>
      <c r="P89" s="49"/>
      <c r="Q89" s="49"/>
      <c r="R89" s="49"/>
    </row>
    <row r="90" spans="1:18" ht="13.5" thickBot="1">
      <c r="A90" s="57" t="s">
        <v>92</v>
      </c>
      <c r="B90" s="46"/>
      <c r="C90" s="46"/>
      <c r="D90" s="92">
        <f>(143145*2.32225)/1000</f>
        <v>332.41847625</v>
      </c>
      <c r="F90" s="92">
        <v>-373</v>
      </c>
      <c r="G90" s="46"/>
      <c r="H90" s="92">
        <f>(143145*2.32225)/1000</f>
        <v>332.41847625</v>
      </c>
      <c r="J90" s="92">
        <v>-373</v>
      </c>
      <c r="K90" s="49"/>
      <c r="L90" s="49"/>
      <c r="M90" s="49"/>
      <c r="N90" s="49"/>
      <c r="O90" s="49"/>
      <c r="P90" s="49"/>
      <c r="Q90" s="49"/>
      <c r="R90" s="49"/>
    </row>
    <row r="91" spans="1:18" ht="13.5" thickTop="1">
      <c r="A91" s="99"/>
      <c r="K91" s="49"/>
      <c r="L91" s="49"/>
      <c r="M91" s="49"/>
      <c r="N91" s="49"/>
      <c r="O91" s="49"/>
      <c r="P91" s="49"/>
      <c r="Q91" s="49"/>
      <c r="R91" s="49"/>
    </row>
    <row r="92" spans="7:18" ht="12.75">
      <c r="G92" s="46"/>
      <c r="H92" s="46"/>
      <c r="I92" s="46"/>
      <c r="J92" s="46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45"/>
      <c r="B93" s="46"/>
      <c r="C93" s="46"/>
      <c r="D93" s="46"/>
      <c r="E93" s="46"/>
      <c r="F93" s="46"/>
      <c r="G93" s="46"/>
      <c r="H93" s="46"/>
      <c r="I93" s="46"/>
      <c r="J93" s="46"/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128" t="s">
        <v>187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49"/>
      <c r="L94" s="49"/>
      <c r="M94" s="49"/>
      <c r="N94" s="49"/>
      <c r="O94" s="49"/>
      <c r="P94" s="49"/>
      <c r="Q94" s="49"/>
      <c r="R94" s="49"/>
    </row>
    <row r="95" spans="1:18" ht="12.75">
      <c r="A95" s="113" t="s">
        <v>188</v>
      </c>
      <c r="B95" s="113"/>
      <c r="C95" s="113"/>
      <c r="D95" s="113"/>
      <c r="E95" s="113"/>
      <c r="F95" s="113"/>
      <c r="G95" s="113"/>
      <c r="H95" s="113"/>
      <c r="I95" s="113"/>
      <c r="J95" s="113"/>
      <c r="L95" s="49"/>
      <c r="M95" s="49"/>
      <c r="N95" s="49"/>
      <c r="O95" s="49"/>
      <c r="P95" s="49"/>
      <c r="Q95" s="49"/>
      <c r="R95" s="49"/>
    </row>
    <row r="96" spans="1:18" ht="12.75">
      <c r="A96" s="118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49"/>
      <c r="M96" s="49"/>
      <c r="N96" s="49"/>
      <c r="O96" s="49"/>
      <c r="P96" s="49"/>
      <c r="Q96" s="49"/>
      <c r="R96" s="49"/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  <row r="285" spans="1:18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</row>
    <row r="286" spans="1:18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</row>
  </sheetData>
  <mergeCells count="8">
    <mergeCell ref="A96:K96"/>
    <mergeCell ref="A2:J2"/>
    <mergeCell ref="A3:J3"/>
    <mergeCell ref="A4:J4"/>
    <mergeCell ref="H20:J20"/>
    <mergeCell ref="D20:F20"/>
    <mergeCell ref="A94:J94"/>
    <mergeCell ref="A95:J95"/>
  </mergeCells>
  <printOptions horizontalCentered="1"/>
  <pageMargins left="0.25" right="0" top="0.3" bottom="0" header="0.15" footer="0.25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Gryphon Asset Management</cp:lastModifiedBy>
  <cp:lastPrinted>2006-11-29T08:00:47Z</cp:lastPrinted>
  <dcterms:created xsi:type="dcterms:W3CDTF">2000-02-14T08:00:04Z</dcterms:created>
  <dcterms:modified xsi:type="dcterms:W3CDTF">2006-11-29T08:00:53Z</dcterms:modified>
  <cp:category/>
  <cp:version/>
  <cp:contentType/>
  <cp:contentStatus/>
</cp:coreProperties>
</file>