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2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'BS'!$A$1:$J$70</definedName>
    <definedName name="_xlnm.Print_Area" localSheetId="3">'P&amp;L'!$A$1:$J$79</definedName>
    <definedName name="_xlnm.Print_Area" localSheetId="1">'S.Equity'!$A$1:$K$55</definedName>
    <definedName name="_xlnm.Print_Titles" localSheetId="3">'P&amp;L'!$19:$24</definedName>
  </definedNames>
  <calcPr fullCalcOnLoad="1"/>
</workbook>
</file>

<file path=xl/sharedStrings.xml><?xml version="1.0" encoding="utf-8"?>
<sst xmlns="http://schemas.openxmlformats.org/spreadsheetml/2006/main" count="208" uniqueCount="169">
  <si>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</si>
  <si>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</si>
  <si>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</si>
  <si>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</si>
  <si>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</si>
  <si>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</si>
  <si>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</si>
  <si>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</si>
  <si>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</si>
  <si>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</si>
  <si>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</si>
  <si>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</si>
  <si>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</si>
  <si>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</si>
  <si>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>Investment in Associated Companies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</si>
  <si>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</si>
  <si>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</si>
  <si>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</si>
  <si>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</si>
  <si>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</si>
  <si>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</si>
  <si>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</si>
  <si>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</si>
  <si>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</si>
  <si>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</si>
  <si>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</si>
  <si>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</si>
  <si>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</si>
  <si>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</si>
  <si>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</si>
  <si>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</si>
  <si>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</si>
  <si>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</si>
  <si>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</si>
  <si>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</si>
  <si>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</si>
  <si>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</si>
  <si>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</si>
  <si>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</si>
  <si>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</si>
  <si>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</si>
  <si>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</si>
  <si>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</si>
  <si>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</si>
  <si>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</si>
  <si>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</si>
  <si>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</si>
  <si>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</si>
  <si>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</si>
  <si>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</si>
  <si>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</si>
  <si>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</si>
  <si>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</si>
  <si>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</si>
  <si>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</si>
  <si>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</si>
  <si>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</si>
  <si>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</si>
  <si>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</si>
  <si>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</si>
  <si>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</si>
  <si>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</si>
  <si>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</si>
  <si>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</si>
  <si>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</si>
  <si>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</si>
  <si>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</si>
  <si>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Net loss for the period</t>
  </si>
  <si>
    <t>Total</t>
  </si>
  <si>
    <t>Repurchase of shares</t>
  </si>
  <si>
    <t>.</t>
  </si>
  <si>
    <t>(The Condensed Consolidated Statement of Changes in Equity should be read in conjunction witth the Annual Financial Report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</si>
  <si>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</si>
  <si>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</si>
  <si>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</si>
  <si>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</si>
  <si>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</si>
  <si>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</si>
  <si>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</si>
  <si>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</si>
  <si>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</si>
  <si>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</si>
  <si>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</si>
  <si>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</si>
  <si>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</si>
  <si>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</si>
  <si>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</si>
  <si>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</si>
  <si>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</si>
  <si>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</si>
  <si>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</si>
  <si>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</si>
  <si>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</si>
  <si>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</si>
  <si>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</si>
  <si>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</si>
  <si>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(The Condensed Consolidated Balance Sheets should be read in conjuction with the Annual Financial</t>
  </si>
  <si>
    <t>Exceptional Item</t>
  </si>
  <si>
    <t>Operating and Administrative Expenses</t>
  </si>
  <si>
    <t>INDIVIDUAL QUARTER</t>
  </si>
  <si>
    <t>Profit/(Loss) After Tax</t>
  </si>
  <si>
    <t>Net Profit/(Loss) for the period</t>
  </si>
  <si>
    <t>Earnings/(Loss) per share (in sen)</t>
  </si>
  <si>
    <t>Profit/(Loss) Before Tax</t>
  </si>
  <si>
    <t>Adjustments for :</t>
  </si>
  <si>
    <t xml:space="preserve">Profit/(Loss) from Operations </t>
  </si>
  <si>
    <t>(see Note 1)</t>
  </si>
  <si>
    <t>Deferred Tax Assets</t>
  </si>
  <si>
    <t xml:space="preserve">        Report for the year ended 30 June 2003.)</t>
  </si>
  <si>
    <t>Tax payables/(recoverable)</t>
  </si>
  <si>
    <t>As at 1 July 2003</t>
  </si>
  <si>
    <t>ICULS-equity</t>
  </si>
  <si>
    <t>component</t>
  </si>
  <si>
    <t>Net profit for the period</t>
  </si>
  <si>
    <t>Distribution to holders of ICULS</t>
  </si>
  <si>
    <t>As previously stated</t>
  </si>
  <si>
    <t>Prior year adjustment</t>
  </si>
  <si>
    <t>Restated balance</t>
  </si>
  <si>
    <t>Reclassification of ICULS</t>
  </si>
  <si>
    <t>Net tangible assets per share (RM)</t>
  </si>
  <si>
    <t>(The Condensed Consolidated Income Statements should be read in conjunction with the Annual Financial Report for the year ended 30 June 2003)</t>
  </si>
  <si>
    <t>Note 1</t>
  </si>
  <si>
    <t>Current quarter</t>
  </si>
  <si>
    <t xml:space="preserve">Preceding </t>
  </si>
  <si>
    <t xml:space="preserve">(The Condensed Consolidated Cash Flow Statements should be read in conjunction with the </t>
  </si>
  <si>
    <t xml:space="preserve">            Annual Financial Report for the year ended 30 June 2003.)</t>
  </si>
  <si>
    <t>Cash (used in)/generated from operations</t>
  </si>
  <si>
    <t>Net cash (used in)/generated from operating activities</t>
  </si>
  <si>
    <t>Net cash generated from/(used in) investing activities</t>
  </si>
  <si>
    <t>Cash and cash equivalents at beginning of the period</t>
  </si>
  <si>
    <t>Cash and cash equivalents at end of the period</t>
  </si>
  <si>
    <t>Period ended</t>
  </si>
  <si>
    <t xml:space="preserve">                  for the year ended 30 June 2003.)</t>
  </si>
  <si>
    <t>(see Note 2)</t>
  </si>
  <si>
    <t>Note 2</t>
  </si>
  <si>
    <t>corresponding</t>
  </si>
  <si>
    <t>financial year ended</t>
  </si>
  <si>
    <t xml:space="preserve">30/06/03 </t>
  </si>
  <si>
    <t>(Audited)</t>
  </si>
  <si>
    <t>Current period</t>
  </si>
  <si>
    <t>period ended</t>
  </si>
  <si>
    <t>Repayment of advances to minority interest</t>
  </si>
  <si>
    <t>Dividends paid to minority interest</t>
  </si>
  <si>
    <t>Proceeds from disposal of long term investments</t>
  </si>
  <si>
    <t>Purchase of dealer's license</t>
  </si>
  <si>
    <t>Reversal of provision for diminution in value of quoted securities held for long term</t>
  </si>
  <si>
    <t>Profit / (Loss) before taxation</t>
  </si>
  <si>
    <t>Net decrease in cash and cash equivalents</t>
  </si>
  <si>
    <t>Reversal of provision for diminution in value of marketable securities</t>
  </si>
  <si>
    <t>Gain/(loss) on disposal of marketable securities</t>
  </si>
  <si>
    <t>of equity in the Statement of Changes in Equity.</t>
  </si>
  <si>
    <t>UNAUDITED FINANCIAL REPORT  FOR THE  PERIOD ENDED 31 MARCH 2004.</t>
  </si>
  <si>
    <t>UNAUDITED FINANCIAL REPORT FOR THE PERIOD ENDED 31 MARCH 2004.</t>
  </si>
  <si>
    <t>CONDENSED CONSOLIDATED STATEMENTS OF CHANGES IN EQUITY FOR THE PERIOD ENDED 31 MARCH 2004</t>
  </si>
  <si>
    <t>9 months ended 31 March 2004</t>
  </si>
  <si>
    <t>9 months ended 31 March 2003</t>
  </si>
  <si>
    <t>Balance as at 31 March 2004</t>
  </si>
  <si>
    <t>Balance as at 31 March 2003</t>
  </si>
  <si>
    <t>UNAUDITED FINANCIAL REPORT FOR THE PERIOD ENDED 31 MARCH 2004</t>
  </si>
  <si>
    <t>31/3/2004</t>
  </si>
  <si>
    <t>31/3/2003</t>
  </si>
  <si>
    <t>CONDENSED CONSOLIDATED CASH FLOW STATEMENTS FOR THE PERIOD ENDED 31 MARCH 2004.</t>
  </si>
  <si>
    <t>Net cash used in from financing activities</t>
  </si>
  <si>
    <t>BURSA MALAYSIA SECURITIES BERHAD</t>
  </si>
  <si>
    <t>Included in Profit/(Loss) Before Tax for the nine months period ended 31 March 2004 are the following items :-</t>
  </si>
  <si>
    <t>Gain/(loss) on disposal of quoted securities held for long term (see exceptional item)</t>
  </si>
  <si>
    <t xml:space="preserve">The Finance Cost exclude the 8% Irredeemable Convertible Unsecured Loan Stock ("ICULS") interest for the nine months period ended 31 March 2004 of RM6,249,000 (2003 : </t>
  </si>
  <si>
    <t xml:space="preserve">RM6,249,000). In accordance with the provisions of MASB 24 : Financial Instruments : Disclosure and Presentation, the ICULS interest of RM6,249,000 is disclosed as a distribution </t>
  </si>
  <si>
    <t>Operating profit/(loss) before working capital changes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</si>
</sst>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43" fontId="0" fillId="0" borderId="3" xfId="15" applyBorder="1" applyAlignment="1">
      <alignment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166" fontId="0" fillId="0" borderId="12" xfId="15" applyNumberFormat="1" applyBorder="1" applyAlignment="1">
      <alignment/>
    </xf>
    <xf numFmtId="166" fontId="0" fillId="0" borderId="13" xfId="15" applyNumberFormat="1" applyBorder="1" applyAlignment="1">
      <alignment/>
    </xf>
    <xf numFmtId="166" fontId="0" fillId="0" borderId="14" xfId="15" applyNumberFormat="1" applyBorder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72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1203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304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72461.6788735625</v>
          </cell>
        </row>
        <row r="15">
          <cell r="U15">
            <v>23084.180013764657</v>
          </cell>
        </row>
        <row r="18">
          <cell r="U18">
            <v>94029.92919</v>
          </cell>
        </row>
        <row r="20">
          <cell r="U20">
            <v>42272</v>
          </cell>
        </row>
        <row r="22">
          <cell r="U22">
            <v>5290</v>
          </cell>
        </row>
        <row r="24">
          <cell r="U24">
            <v>3122.9951852785043</v>
          </cell>
        </row>
        <row r="27">
          <cell r="U27">
            <v>7379</v>
          </cell>
        </row>
        <row r="29">
          <cell r="U29">
            <v>80947.817</v>
          </cell>
        </row>
        <row r="30">
          <cell r="U30">
            <v>174107.59725777252</v>
          </cell>
        </row>
        <row r="31">
          <cell r="U31">
            <v>63041.81924429993</v>
          </cell>
        </row>
        <row r="34">
          <cell r="U34">
            <v>37576</v>
          </cell>
        </row>
        <row r="35">
          <cell r="U35">
            <v>10173.530460000002</v>
          </cell>
        </row>
        <row r="47">
          <cell r="U47">
            <v>0</v>
          </cell>
        </row>
        <row r="48">
          <cell r="U48">
            <v>31820.772767615</v>
          </cell>
        </row>
        <row r="49">
          <cell r="U49">
            <v>173673.93944568</v>
          </cell>
        </row>
        <row r="50">
          <cell r="U50">
            <v>25868.06082</v>
          </cell>
        </row>
        <row r="51">
          <cell r="U51">
            <v>22830.882364815</v>
          </cell>
        </row>
        <row r="56">
          <cell r="U56">
            <v>145071.5240600175</v>
          </cell>
        </row>
        <row r="57">
          <cell r="U57">
            <v>17477.942453500003</v>
          </cell>
        </row>
        <row r="58">
          <cell r="U58">
            <v>433.866</v>
          </cell>
        </row>
        <row r="62">
          <cell r="U62">
            <v>2403.3869483549997</v>
          </cell>
        </row>
        <row r="65">
          <cell r="U65">
            <v>10455.776749999999</v>
          </cell>
        </row>
        <row r="67">
          <cell r="U67">
            <v>2765.4207499999998</v>
          </cell>
        </row>
        <row r="73">
          <cell r="U73">
            <v>231.1225845</v>
          </cell>
        </row>
        <row r="78">
          <cell r="U78">
            <v>618966.2163726198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-4338</v>
          </cell>
        </row>
        <row r="87">
          <cell r="U87">
            <v>9270.028512659295</v>
          </cell>
        </row>
        <row r="99">
          <cell r="U99">
            <v>-6249</v>
          </cell>
        </row>
        <row r="102">
          <cell r="U102">
            <v>-130508.82461162942</v>
          </cell>
        </row>
        <row r="104">
          <cell r="U104">
            <v>22990.891632338302</v>
          </cell>
        </row>
        <row r="111">
          <cell r="U111">
            <v>299.014999875</v>
          </cell>
        </row>
        <row r="113">
          <cell r="U113">
            <v>103768</v>
          </cell>
        </row>
        <row r="114">
          <cell r="U114">
            <v>1265</v>
          </cell>
        </row>
        <row r="125">
          <cell r="U125">
            <v>112442.932774374</v>
          </cell>
        </row>
        <row r="229">
          <cell r="U229">
            <v>4941</v>
          </cell>
        </row>
        <row r="230">
          <cell r="U230">
            <v>994.47855</v>
          </cell>
        </row>
        <row r="232">
          <cell r="U232">
            <v>-3186.8999999999996</v>
          </cell>
        </row>
        <row r="238">
          <cell r="U238">
            <v>38954.97673317949</v>
          </cell>
        </row>
        <row r="240">
          <cell r="U240">
            <v>-2922.493181257822</v>
          </cell>
        </row>
        <row r="242">
          <cell r="U242">
            <v>0.9687360520001675</v>
          </cell>
        </row>
        <row r="641">
          <cell r="N641">
            <v>31499.017863655503</v>
          </cell>
        </row>
        <row r="664">
          <cell r="P664">
            <v>44237.36507344</v>
          </cell>
        </row>
        <row r="675">
          <cell r="P675">
            <v>12940.665611999997</v>
          </cell>
        </row>
        <row r="678">
          <cell r="P678">
            <v>5097.964711962501</v>
          </cell>
        </row>
        <row r="682">
          <cell r="P682">
            <v>43820.0748874475</v>
          </cell>
        </row>
        <row r="688">
          <cell r="P688">
            <v>1639.202040000002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5.907752840544265</v>
          </cell>
        </row>
        <row r="58">
          <cell r="C58">
            <v>3.5294966281435975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42141.87943289341</v>
          </cell>
        </row>
        <row r="24">
          <cell r="G24">
            <v>1639.202040000002</v>
          </cell>
        </row>
        <row r="25">
          <cell r="G25">
            <v>-2719.0763439</v>
          </cell>
        </row>
        <row r="38">
          <cell r="I38">
            <v>-12059.396268960503</v>
          </cell>
        </row>
        <row r="46">
          <cell r="G46">
            <v>-87921.91206505545</v>
          </cell>
        </row>
        <row r="47">
          <cell r="G47">
            <v>16592.990813517492</v>
          </cell>
        </row>
        <row r="48">
          <cell r="G48">
            <v>-5380.846667614999</v>
          </cell>
        </row>
        <row r="49">
          <cell r="G49">
            <v>-27484.822500000002</v>
          </cell>
        </row>
        <row r="50">
          <cell r="G50">
            <v>-11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-0.3760000000000048</v>
          </cell>
        </row>
        <row r="59">
          <cell r="G59">
            <v>-3320.4456822900006</v>
          </cell>
        </row>
        <row r="66">
          <cell r="G66">
            <v>852.5431380850035</v>
          </cell>
        </row>
        <row r="67">
          <cell r="G67">
            <v>-5516.52712718</v>
          </cell>
        </row>
        <row r="71">
          <cell r="G71">
            <v>11187</v>
          </cell>
        </row>
        <row r="72">
          <cell r="G72">
            <v>2548</v>
          </cell>
        </row>
        <row r="73">
          <cell r="G73">
            <v>31007.80545</v>
          </cell>
        </row>
        <row r="83">
          <cell r="G83">
            <v>-510</v>
          </cell>
        </row>
        <row r="84">
          <cell r="G84">
            <v>-29</v>
          </cell>
        </row>
        <row r="86">
          <cell r="G86">
            <v>-2097.4726500000015</v>
          </cell>
        </row>
        <row r="87">
          <cell r="G87">
            <v>-357.58045899999985</v>
          </cell>
        </row>
        <row r="88">
          <cell r="G88">
            <v>-787</v>
          </cell>
        </row>
        <row r="89">
          <cell r="G89">
            <v>-1767.7491798560002</v>
          </cell>
        </row>
        <row r="90">
          <cell r="G90">
            <v>-120</v>
          </cell>
        </row>
        <row r="97">
          <cell r="G97">
            <v>528.5879000000009</v>
          </cell>
        </row>
        <row r="99">
          <cell r="G99">
            <v>148368</v>
          </cell>
        </row>
        <row r="105">
          <cell r="G105">
            <v>20737.882364815</v>
          </cell>
        </row>
        <row r="106">
          <cell r="G106">
            <v>87891.00026568002</v>
          </cell>
        </row>
        <row r="107">
          <cell r="G107">
            <v>-2765.4207499999998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4">
        <row r="26">
          <cell r="F26">
            <v>42660.932774374</v>
          </cell>
        </row>
        <row r="28">
          <cell r="F28">
            <v>-37313.07028484999</v>
          </cell>
        </row>
        <row r="30">
          <cell r="F30">
            <v>8155.017863655503</v>
          </cell>
        </row>
        <row r="34">
          <cell r="F34">
            <v>-537.202040000002</v>
          </cell>
        </row>
        <row r="38">
          <cell r="F38">
            <v>453.47855000000004</v>
          </cell>
        </row>
        <row r="42">
          <cell r="F42">
            <v>-1464.8999999999996</v>
          </cell>
        </row>
        <row r="46">
          <cell r="F46">
            <v>-1491.5244452058218</v>
          </cell>
        </row>
        <row r="52">
          <cell r="F52">
            <v>1.837752840544265</v>
          </cell>
        </row>
        <row r="53">
          <cell r="F53">
            <v>1.1094966281435976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49">
      <selection activeCell="G71" sqref="G71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31"/>
    </row>
    <row r="2" spans="1:10" ht="15.75" customHeight="1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31"/>
    </row>
    <row r="3" spans="1:10" ht="15.75" customHeight="1">
      <c r="A3" s="97" t="s">
        <v>42</v>
      </c>
      <c r="B3" s="97"/>
      <c r="C3" s="97"/>
      <c r="D3" s="97"/>
      <c r="E3" s="97"/>
      <c r="F3" s="97"/>
      <c r="G3" s="97"/>
      <c r="H3" s="97"/>
      <c r="I3" s="97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151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52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20</v>
      </c>
    </row>
    <row r="10" spans="1:9" ht="12.75">
      <c r="A10" s="10"/>
      <c r="B10" s="9"/>
      <c r="C10" s="9"/>
      <c r="D10" s="10"/>
      <c r="E10" s="10"/>
      <c r="F10" s="10"/>
      <c r="G10" s="26" t="s">
        <v>19</v>
      </c>
      <c r="H10" s="11"/>
      <c r="I10" s="82" t="s">
        <v>136</v>
      </c>
    </row>
    <row r="11" spans="1:9" ht="12.75">
      <c r="A11" s="10"/>
      <c r="B11" s="9"/>
      <c r="C11" s="9"/>
      <c r="D11" s="10"/>
      <c r="E11" s="10"/>
      <c r="F11" s="10"/>
      <c r="G11" s="81" t="s">
        <v>159</v>
      </c>
      <c r="H11" s="3"/>
      <c r="I11" s="78" t="s">
        <v>137</v>
      </c>
    </row>
    <row r="12" spans="1:9" ht="12.75">
      <c r="A12" s="10"/>
      <c r="B12" s="9"/>
      <c r="C12" s="9"/>
      <c r="D12" s="10"/>
      <c r="E12" s="10"/>
      <c r="F12" s="10"/>
      <c r="G12" s="81"/>
      <c r="H12" s="3"/>
      <c r="I12" s="78" t="s">
        <v>138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82</v>
      </c>
      <c r="B15" s="46"/>
      <c r="C15" s="46"/>
      <c r="D15" s="10"/>
      <c r="E15" s="10"/>
      <c r="F15" s="10"/>
      <c r="G15" s="11">
        <f>'[2]M-GER95A.XLS'!$U$10</f>
        <v>72461.6788735625</v>
      </c>
      <c r="H15" s="11"/>
      <c r="I15" s="11">
        <v>72504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5" t="s">
        <v>14</v>
      </c>
      <c r="B17" s="46"/>
      <c r="C17" s="46"/>
      <c r="D17" s="10"/>
      <c r="E17" s="10"/>
      <c r="F17" s="10"/>
      <c r="G17" s="11">
        <f>'[2]M-GER95A.XLS'!$U$15</f>
        <v>23084.180013764657</v>
      </c>
      <c r="H17" s="11"/>
      <c r="I17" s="11">
        <f>53209+97</f>
        <v>53306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'[2]M-GER95A.XLS'!$U$18</f>
        <v>94029.92919</v>
      </c>
      <c r="H19" s="11"/>
      <c r="I19" s="11">
        <v>89412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'[2]M-GER95A.XLS'!$U$20+'[2]M-GER95A.XLS'!$U$73+'[2]M-GER95A.XLS'!$U$24</f>
        <v>45626.1177697785</v>
      </c>
      <c r="H21" s="11"/>
      <c r="I21" s="11">
        <f>43983+3123+245</f>
        <v>47351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21</v>
      </c>
      <c r="B23" s="46"/>
      <c r="C23" s="45"/>
      <c r="D23" s="10"/>
      <c r="E23" s="10"/>
      <c r="F23" s="10"/>
      <c r="G23" s="11">
        <f>'[2]M-GER95A.XLS'!$U$22</f>
        <v>5290</v>
      </c>
      <c r="H23" s="11"/>
      <c r="I23" s="11">
        <v>4913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107</v>
      </c>
      <c r="B25" s="46"/>
      <c r="C25" s="45"/>
      <c r="D25" s="10"/>
      <c r="E25" s="10"/>
      <c r="F25" s="10"/>
      <c r="G25" s="11">
        <f>'[2]M-GER95A.XLS'!$U$27</f>
        <v>7379</v>
      </c>
      <c r="H25" s="11"/>
      <c r="I25" s="11">
        <v>7379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22</v>
      </c>
      <c r="C28" s="30"/>
      <c r="D28" s="10"/>
      <c r="E28" s="10"/>
      <c r="F28" s="10"/>
      <c r="G28" s="11">
        <f>'[2]M-GER95A.XLS'!$U$34</f>
        <v>37576</v>
      </c>
      <c r="H28" s="11"/>
      <c r="I28" s="11">
        <v>37565</v>
      </c>
    </row>
    <row r="29" spans="1:9" ht="12.75">
      <c r="A29" s="45"/>
      <c r="B29" s="28" t="s">
        <v>16</v>
      </c>
      <c r="C29" s="28"/>
      <c r="D29" s="10"/>
      <c r="E29" s="10"/>
      <c r="F29" s="10"/>
      <c r="G29" s="12">
        <f>'[2]M-GER95A.XLS'!$U$48</f>
        <v>31820.772767615</v>
      </c>
      <c r="H29" s="12"/>
      <c r="I29" s="12">
        <v>26691</v>
      </c>
    </row>
    <row r="30" spans="1:9" ht="12.75">
      <c r="A30" s="45"/>
      <c r="B30" s="29" t="s">
        <v>33</v>
      </c>
      <c r="C30" s="29"/>
      <c r="D30" s="10"/>
      <c r="E30" s="10"/>
      <c r="F30" s="10"/>
      <c r="G30" s="12">
        <f>'[2]M-GER95A.XLS'!$U$30+'[2]M-GER95A.XLS'!$U$31+1</f>
        <v>237150.41650207245</v>
      </c>
      <c r="H30" s="12"/>
      <c r="I30" s="12">
        <f>120426+44666-939</f>
        <v>164153</v>
      </c>
    </row>
    <row r="31" spans="1:9" ht="12.75">
      <c r="A31" s="45"/>
      <c r="B31" s="29" t="s">
        <v>23</v>
      </c>
      <c r="C31" s="29"/>
      <c r="D31" s="10"/>
      <c r="E31" s="10"/>
      <c r="F31" s="10"/>
      <c r="G31" s="12">
        <f>'[2]M-GER95A.XLS'!$U$29</f>
        <v>80947.817</v>
      </c>
      <c r="H31" s="12"/>
      <c r="I31" s="12">
        <v>51177</v>
      </c>
    </row>
    <row r="32" spans="1:9" ht="12.75">
      <c r="A32" s="45"/>
      <c r="B32" s="29" t="s">
        <v>24</v>
      </c>
      <c r="C32" s="29"/>
      <c r="D32" s="10"/>
      <c r="E32" s="10"/>
      <c r="F32" s="10"/>
      <c r="G32" s="12"/>
      <c r="H32" s="12"/>
      <c r="I32" s="12"/>
    </row>
    <row r="33" spans="1:9" ht="12.75">
      <c r="A33" s="45"/>
      <c r="B33" s="29" t="s">
        <v>25</v>
      </c>
      <c r="C33" s="29"/>
      <c r="D33" s="10"/>
      <c r="E33" s="10"/>
      <c r="F33" s="10"/>
      <c r="G33" s="12">
        <f>'[2]M-GER95A.XLS'!$U$49+'[2]M-GER95A.XLS'!$U$50</f>
        <v>199542.00026568002</v>
      </c>
      <c r="H33" s="12"/>
      <c r="I33" s="12">
        <v>242469</v>
      </c>
    </row>
    <row r="34" spans="1:9" ht="12.75">
      <c r="A34" s="45"/>
      <c r="B34" s="29" t="s">
        <v>26</v>
      </c>
      <c r="C34" s="29"/>
      <c r="D34" s="10"/>
      <c r="E34" s="10"/>
      <c r="F34" s="10"/>
      <c r="G34" s="12">
        <f>'[2]M-GER95A.XLS'!$U$51</f>
        <v>22830.882364815</v>
      </c>
      <c r="H34" s="12"/>
      <c r="I34" s="12">
        <v>20463</v>
      </c>
    </row>
    <row r="35" spans="1:9" ht="12.75">
      <c r="A35" s="45"/>
      <c r="B35" s="46"/>
      <c r="C35" s="30"/>
      <c r="D35" s="10"/>
      <c r="E35" s="10"/>
      <c r="F35" s="10"/>
      <c r="G35" s="14">
        <f>SUM(G28:G34)</f>
        <v>609867.8889001824</v>
      </c>
      <c r="H35" s="14"/>
      <c r="I35" s="14">
        <f>SUM(I28:I34)</f>
        <v>542518</v>
      </c>
    </row>
    <row r="36" spans="1:9" ht="12.75">
      <c r="A36" s="45"/>
      <c r="B36" s="46"/>
      <c r="C36" s="30"/>
      <c r="D36" s="10"/>
      <c r="E36" s="10"/>
      <c r="F36" s="10"/>
      <c r="G36" s="12"/>
      <c r="H36" s="12"/>
      <c r="I36" s="12"/>
    </row>
    <row r="37" spans="1:9" ht="12.75">
      <c r="A37" s="45" t="s">
        <v>7</v>
      </c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/>
      <c r="B38" s="29" t="s">
        <v>34</v>
      </c>
      <c r="C38" s="29"/>
      <c r="D38" s="10"/>
      <c r="E38" s="10"/>
      <c r="F38" s="10"/>
      <c r="G38" s="12">
        <f>SUM('[2]M-GER95A.XLS'!$U$56:$U$58)-'[2]M-GER95A.XLS'!$U$47+1</f>
        <v>162984.3325135175</v>
      </c>
      <c r="H38" s="12"/>
      <c r="I38" s="12">
        <f>122965+23931</f>
        <v>146896</v>
      </c>
    </row>
    <row r="39" spans="1:9" ht="12.75">
      <c r="A39" s="45"/>
      <c r="B39" s="29" t="s">
        <v>27</v>
      </c>
      <c r="C39" s="29"/>
      <c r="D39" s="10"/>
      <c r="E39" s="10"/>
      <c r="F39" s="10"/>
      <c r="G39" s="12">
        <f>'[2]M-GER95A.XLS'!$U$65+'[2]M-GER95A.XLS'!$U$67</f>
        <v>13221.197499999998</v>
      </c>
      <c r="H39" s="12"/>
      <c r="I39" s="12">
        <v>13495</v>
      </c>
    </row>
    <row r="40" spans="1:9" ht="12.75">
      <c r="A40" s="45"/>
      <c r="B40" s="28" t="s">
        <v>109</v>
      </c>
      <c r="C40" s="30"/>
      <c r="D40" s="10"/>
      <c r="E40" s="10"/>
      <c r="F40" s="10"/>
      <c r="G40" s="12">
        <f>-'[2]M-GER95A.XLS'!$U$35+'[2]M-GER95A.XLS'!$U$62</f>
        <v>-7770.143511645002</v>
      </c>
      <c r="H40" s="12"/>
      <c r="I40" s="12">
        <v>-939</v>
      </c>
    </row>
    <row r="41" spans="1:9" ht="12.75">
      <c r="A41" s="45"/>
      <c r="B41" s="46"/>
      <c r="C41" s="41"/>
      <c r="D41" s="10"/>
      <c r="E41" s="10"/>
      <c r="F41" s="10"/>
      <c r="G41" s="14">
        <f>SUM(G38:G40)</f>
        <v>168435.3865018725</v>
      </c>
      <c r="H41" s="14"/>
      <c r="I41" s="14">
        <f>SUM(I38:I40)</f>
        <v>159452</v>
      </c>
    </row>
    <row r="42" spans="1:9" ht="12.75">
      <c r="A42" s="45"/>
      <c r="B42" s="46"/>
      <c r="C42" s="45"/>
      <c r="D42" s="10"/>
      <c r="E42" s="10"/>
      <c r="F42" s="10"/>
      <c r="G42" s="11"/>
      <c r="H42" s="11"/>
      <c r="I42" s="11"/>
    </row>
    <row r="43" spans="1:9" ht="12.75">
      <c r="A43" s="45" t="s">
        <v>8</v>
      </c>
      <c r="B43" s="46"/>
      <c r="C43" s="46"/>
      <c r="D43" s="10"/>
      <c r="E43" s="10"/>
      <c r="F43" s="10"/>
      <c r="G43" s="11">
        <f>G35-G41</f>
        <v>441432.50239830994</v>
      </c>
      <c r="H43" s="11"/>
      <c r="I43" s="11">
        <f>+I35-I41</f>
        <v>383066</v>
      </c>
    </row>
    <row r="44" spans="1:11" ht="13.5" thickBot="1">
      <c r="A44" s="45"/>
      <c r="B44" s="46"/>
      <c r="C44" s="45"/>
      <c r="D44" s="10"/>
      <c r="E44" s="10"/>
      <c r="F44" s="10"/>
      <c r="G44" s="13">
        <f>G43+SUM(G15:G25)+1</f>
        <v>689304.4082454157</v>
      </c>
      <c r="H44" s="13"/>
      <c r="I44" s="13">
        <f>I43+SUM(I15:I25)</f>
        <v>657931</v>
      </c>
      <c r="K44" s="2"/>
    </row>
    <row r="45" spans="1:9" ht="13.5" thickTop="1">
      <c r="A45" s="4"/>
      <c r="B45" s="46"/>
      <c r="C45" s="46"/>
      <c r="D45" s="10"/>
      <c r="E45" s="10"/>
      <c r="F45" s="10"/>
      <c r="G45" s="11"/>
      <c r="H45" s="11"/>
      <c r="I45" s="11"/>
    </row>
    <row r="46" spans="1:9" ht="12.75">
      <c r="A46" s="47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8" t="s">
        <v>9</v>
      </c>
      <c r="B47" s="46"/>
      <c r="C47" s="46"/>
      <c r="D47" s="10"/>
      <c r="E47" s="10"/>
      <c r="F47" s="10"/>
      <c r="G47" s="11">
        <f>'[2]M-GER95A.XLS'!$U$78</f>
        <v>618966.2163726198</v>
      </c>
      <c r="H47" s="11"/>
      <c r="I47" s="11">
        <v>618966</v>
      </c>
    </row>
    <row r="48" spans="1:9" ht="12.75">
      <c r="A48" s="45" t="s">
        <v>0</v>
      </c>
      <c r="B48" s="46"/>
      <c r="C48" s="46"/>
      <c r="D48" s="10"/>
      <c r="E48" s="10"/>
      <c r="F48" s="10"/>
      <c r="G48" s="11">
        <f>'[2]M-GER95A.XLS'!$U$82+'[2]M-GER95A.XLS'!$U$85+'[2]M-GER95A.XLS'!$U$86+'[2]M-GER95A.XLS'!$U$87-1</f>
        <v>72523.5985126593</v>
      </c>
      <c r="H48" s="11"/>
      <c r="I48" s="11">
        <v>72209</v>
      </c>
    </row>
    <row r="49" spans="1:9" ht="12.75">
      <c r="A49" s="45" t="s">
        <v>29</v>
      </c>
      <c r="B49" s="46"/>
      <c r="C49" s="46"/>
      <c r="D49" s="10"/>
      <c r="E49" s="10"/>
      <c r="F49" s="10"/>
      <c r="G49" s="11"/>
      <c r="H49" s="11"/>
      <c r="I49" s="11"/>
    </row>
    <row r="50" spans="1:9" ht="12.75">
      <c r="A50" s="45" t="s">
        <v>30</v>
      </c>
      <c r="B50" s="46"/>
      <c r="C50" s="46"/>
      <c r="D50" s="10"/>
      <c r="E50" s="10"/>
      <c r="F50" s="10"/>
      <c r="G50" s="11">
        <f>'[2]M-GER95A.XLS'!$U$113</f>
        <v>103768</v>
      </c>
      <c r="H50" s="11"/>
      <c r="I50" s="11">
        <v>103768</v>
      </c>
    </row>
    <row r="51" spans="1:9" ht="12.75">
      <c r="A51" s="45" t="s">
        <v>18</v>
      </c>
      <c r="B51" s="46"/>
      <c r="C51" s="5"/>
      <c r="D51" s="10"/>
      <c r="E51" s="10"/>
      <c r="F51" s="10"/>
      <c r="G51" s="11">
        <f>'[2]M-GER95A.XLS'!$U$102</f>
        <v>-130508.82461162942</v>
      </c>
      <c r="H51" s="11"/>
      <c r="I51" s="11">
        <v>-160292</v>
      </c>
    </row>
    <row r="52" spans="1:9" ht="12.75">
      <c r="A52" s="45" t="s">
        <v>28</v>
      </c>
      <c r="B52" s="46"/>
      <c r="C52" s="46"/>
      <c r="D52" s="10"/>
      <c r="E52" s="10"/>
      <c r="F52" s="10"/>
      <c r="G52" s="14">
        <f>SUM(G47:G51)</f>
        <v>664748.9902736498</v>
      </c>
      <c r="H52" s="14"/>
      <c r="I52" s="14">
        <f>SUM(I47:I51)</f>
        <v>634651</v>
      </c>
    </row>
    <row r="53" spans="1:9" ht="12.75">
      <c r="A53" s="45"/>
      <c r="B53" s="46"/>
      <c r="C53" s="46"/>
      <c r="D53" s="10"/>
      <c r="E53" s="10"/>
      <c r="F53" s="10"/>
      <c r="G53" s="11"/>
      <c r="H53" s="11"/>
      <c r="I53" s="11"/>
    </row>
    <row r="54" spans="1:9" ht="12.75">
      <c r="A54" s="46" t="s">
        <v>10</v>
      </c>
      <c r="B54" s="46"/>
      <c r="C54" s="46"/>
      <c r="D54" s="10"/>
      <c r="E54" s="10"/>
      <c r="F54" s="10"/>
      <c r="G54" s="11">
        <f>'[2]M-GER95A.XLS'!$U$104</f>
        <v>22990.891632338302</v>
      </c>
      <c r="H54" s="10"/>
      <c r="I54" s="11">
        <v>21688</v>
      </c>
    </row>
    <row r="55" spans="1:9" ht="12.75">
      <c r="A55" s="46"/>
      <c r="B55" s="46"/>
      <c r="C55" s="46"/>
      <c r="D55" s="10"/>
      <c r="E55" s="10"/>
      <c r="F55" s="10"/>
      <c r="G55" s="10"/>
      <c r="H55" s="10"/>
      <c r="I55" s="11"/>
    </row>
    <row r="56" spans="1:9" ht="12.75">
      <c r="A56" s="46" t="s">
        <v>31</v>
      </c>
      <c r="B56" s="46"/>
      <c r="C56" s="46"/>
      <c r="D56" s="10"/>
      <c r="E56" s="10"/>
      <c r="F56" s="10"/>
      <c r="G56" s="11">
        <f>'[2]M-GER95A.XLS'!$U$111</f>
        <v>299.014999875</v>
      </c>
      <c r="H56" s="10"/>
      <c r="I56" s="11">
        <v>422</v>
      </c>
    </row>
    <row r="57" spans="1:9" ht="12.75">
      <c r="A57" s="46"/>
      <c r="B57" s="46"/>
      <c r="C57" s="46"/>
      <c r="D57" s="10"/>
      <c r="E57" s="10"/>
      <c r="F57" s="10"/>
      <c r="G57" s="10"/>
      <c r="H57" s="10"/>
      <c r="I57" s="11"/>
    </row>
    <row r="58" spans="1:9" ht="12.75">
      <c r="A58" s="46" t="s">
        <v>32</v>
      </c>
      <c r="B58" s="46"/>
      <c r="C58" s="46"/>
      <c r="D58" s="10"/>
      <c r="E58" s="10"/>
      <c r="F58" s="10"/>
      <c r="G58" s="11">
        <f>'[2]M-GER95A.XLS'!$U$114</f>
        <v>1265</v>
      </c>
      <c r="H58" s="10"/>
      <c r="I58" s="11">
        <v>1170</v>
      </c>
    </row>
    <row r="59" spans="1:9" ht="12.75">
      <c r="A59" s="46"/>
      <c r="B59" s="46"/>
      <c r="C59" s="46"/>
      <c r="D59" s="10"/>
      <c r="E59" s="10"/>
      <c r="F59" s="10"/>
      <c r="G59" s="10"/>
      <c r="H59" s="10"/>
      <c r="I59" s="11"/>
    </row>
    <row r="60" spans="1:9" ht="13.5" thickBot="1">
      <c r="A60" s="4"/>
      <c r="B60" s="46"/>
      <c r="C60" s="46"/>
      <c r="D60" s="10"/>
      <c r="E60" s="10"/>
      <c r="F60" s="10"/>
      <c r="G60" s="13">
        <f>SUM(G52:G59)</f>
        <v>689303.8969058631</v>
      </c>
      <c r="H60" s="13"/>
      <c r="I60" s="13">
        <f>SUM(I52:I59)</f>
        <v>657931</v>
      </c>
    </row>
    <row r="61" spans="1:9" ht="13.5" thickTop="1">
      <c r="A61" s="4"/>
      <c r="C61" s="10"/>
      <c r="D61" s="10"/>
      <c r="E61" s="10"/>
      <c r="F61" s="10"/>
      <c r="G61" s="24"/>
      <c r="H61" s="24"/>
      <c r="I61" s="24"/>
    </row>
    <row r="62" spans="1:9" ht="12.75">
      <c r="A62" s="4"/>
      <c r="C62" s="10"/>
      <c r="D62" s="10"/>
      <c r="E62" s="10"/>
      <c r="F62" s="10"/>
      <c r="G62" s="24"/>
      <c r="H62" s="24"/>
      <c r="I62" s="24"/>
    </row>
    <row r="63" spans="1:9" ht="12.75">
      <c r="A63" s="8" t="s">
        <v>119</v>
      </c>
      <c r="C63" s="10"/>
      <c r="D63" s="10"/>
      <c r="E63" s="10"/>
      <c r="F63" s="26"/>
      <c r="G63" s="88">
        <f>(G52-G21-G50)/G47</f>
        <v>0.8326058173643938</v>
      </c>
      <c r="H63" s="24"/>
      <c r="I63" s="88">
        <f>(I52-I21-I50)/I47</f>
        <v>0.781193151158545</v>
      </c>
    </row>
    <row r="64" spans="1:9" ht="12.75">
      <c r="A64" s="4"/>
      <c r="C64" s="10"/>
      <c r="D64" s="10"/>
      <c r="E64" s="10"/>
      <c r="F64" s="10"/>
      <c r="G64" s="88"/>
      <c r="H64" s="24"/>
      <c r="I64" s="88"/>
    </row>
    <row r="65" spans="1:9" ht="12.75">
      <c r="A65" s="4"/>
      <c r="C65" s="10"/>
      <c r="D65" s="10"/>
      <c r="E65" s="10"/>
      <c r="F65" s="10"/>
      <c r="G65" s="24"/>
      <c r="H65" s="24"/>
      <c r="I65" s="2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22"/>
      <c r="C67" s="10"/>
      <c r="D67" s="10"/>
      <c r="E67" s="10"/>
      <c r="F67" s="10"/>
      <c r="G67" s="23"/>
      <c r="H67" s="10"/>
      <c r="I67" s="23"/>
    </row>
    <row r="68" spans="1:10" ht="12.75">
      <c r="A68" s="98" t="s">
        <v>96</v>
      </c>
      <c r="B68" s="99"/>
      <c r="C68" s="99"/>
      <c r="D68" s="99"/>
      <c r="E68" s="99"/>
      <c r="F68" s="99"/>
      <c r="G68" s="99"/>
      <c r="H68" s="99"/>
      <c r="I68" s="99"/>
      <c r="J68" s="99"/>
    </row>
    <row r="69" spans="1:9" ht="12.75">
      <c r="A69" s="15" t="s">
        <v>108</v>
      </c>
      <c r="B69" s="5"/>
      <c r="C69" s="5"/>
      <c r="D69" s="5"/>
      <c r="E69" s="5"/>
      <c r="F69" s="5"/>
      <c r="G69" s="5"/>
      <c r="H69" s="5"/>
      <c r="I69" s="5"/>
    </row>
    <row r="70" ht="12.75">
      <c r="C70" s="1"/>
    </row>
    <row r="71" spans="3:7" ht="12.75">
      <c r="C71" s="1"/>
      <c r="G71" s="2"/>
    </row>
    <row r="72" ht="12.75">
      <c r="C72" s="1"/>
    </row>
    <row r="73" ht="12.75">
      <c r="C73" s="1"/>
    </row>
  </sheetData>
  <mergeCells count="4">
    <mergeCell ref="A1:I1"/>
    <mergeCell ref="A2:I2"/>
    <mergeCell ref="A3:I3"/>
    <mergeCell ref="A68:J68"/>
  </mergeCells>
  <printOptions/>
  <pageMargins left="0.9" right="0" top="0.29" bottom="0" header="0.54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5"/>
  <sheetViews>
    <sheetView workbookViewId="0" topLeftCell="D26">
      <selection activeCell="J45" sqref="J45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42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152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153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99"/>
      <c r="F9" s="99"/>
      <c r="G9" s="99"/>
      <c r="H9" s="99"/>
      <c r="I9" s="99"/>
      <c r="J9" s="99"/>
    </row>
    <row r="10" spans="4:10" ht="12.75">
      <c r="D10" s="26"/>
      <c r="E10" s="26"/>
      <c r="F10" s="26"/>
      <c r="G10" s="26"/>
      <c r="H10" s="26" t="s">
        <v>59</v>
      </c>
      <c r="I10" s="26"/>
      <c r="J10" s="26"/>
    </row>
    <row r="11" spans="4:11" ht="12.75">
      <c r="D11" s="26" t="s">
        <v>53</v>
      </c>
      <c r="E11" s="26" t="s">
        <v>55</v>
      </c>
      <c r="F11" s="26" t="s">
        <v>111</v>
      </c>
      <c r="G11" s="26" t="s">
        <v>57</v>
      </c>
      <c r="H11" s="26" t="s">
        <v>60</v>
      </c>
      <c r="I11" s="26" t="s">
        <v>61</v>
      </c>
      <c r="J11" s="26" t="s">
        <v>63</v>
      </c>
      <c r="K11" s="26" t="s">
        <v>68</v>
      </c>
    </row>
    <row r="12" spans="4:10" ht="12.75">
      <c r="D12" s="26" t="s">
        <v>54</v>
      </c>
      <c r="E12" s="26" t="s">
        <v>56</v>
      </c>
      <c r="F12" s="82" t="s">
        <v>112</v>
      </c>
      <c r="G12" s="26" t="s">
        <v>58</v>
      </c>
      <c r="H12" s="26" t="s">
        <v>57</v>
      </c>
      <c r="I12" s="26" t="s">
        <v>62</v>
      </c>
      <c r="J12" s="26" t="s">
        <v>64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154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110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8166</v>
      </c>
      <c r="I17" s="50">
        <v>-3551</v>
      </c>
      <c r="J17" s="50">
        <v>-160292</v>
      </c>
      <c r="K17" s="50">
        <f>SUM(D17:J17)</f>
        <v>634651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-787</v>
      </c>
      <c r="J19" s="50">
        <v>0</v>
      </c>
      <c r="K19" s="50">
        <f>SUM(D19:J19)</f>
        <v>-787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66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1101.0285126592953</v>
      </c>
      <c r="I21" s="50">
        <v>0</v>
      </c>
      <c r="J21" s="50">
        <v>0</v>
      </c>
      <c r="K21" s="50">
        <f>SUM(D21:J21)</f>
        <v>1101.0285126592953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114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'[2]M-GER95A.XLS'!$U$99</f>
        <v>-6249</v>
      </c>
      <c r="K23" s="50">
        <f>SUM(D23:J23)</f>
        <v>-6249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113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SUM('[2]M-GER95A.XLS'!$U$238:$U$242)</f>
        <v>36033.45228797366</v>
      </c>
      <c r="K25" s="50">
        <f>SUM(D25:J25)</f>
        <v>36033.45228797366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156</v>
      </c>
      <c r="D27" s="58">
        <f>SUM(D17:D26)</f>
        <v>618966</v>
      </c>
      <c r="E27" s="58">
        <f>SUM(E17:E26)</f>
        <v>66394</v>
      </c>
      <c r="F27" s="58">
        <f>'[1]M-GER95A.XLS'!$U$113</f>
        <v>103768</v>
      </c>
      <c r="G27" s="58">
        <f>SUM(G17:G26)</f>
        <v>1200</v>
      </c>
      <c r="H27" s="58">
        <f>'[2]M-GER95A.XLS'!$U$87-3</f>
        <v>9267.028512659295</v>
      </c>
      <c r="I27" s="58">
        <f>'[2]M-GER95A.XLS'!$U$86</f>
        <v>-4338</v>
      </c>
      <c r="J27" s="58">
        <f>SUM(J17:J26)</f>
        <v>-130507.54771202634</v>
      </c>
      <c r="K27" s="58">
        <f>SUM(K17:K26)</f>
        <v>664749.4808006329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155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59" t="s">
        <v>65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2.75">
      <c r="A33" s="84" t="s">
        <v>115</v>
      </c>
      <c r="D33" s="85">
        <v>618966</v>
      </c>
      <c r="E33" s="86">
        <v>66394</v>
      </c>
      <c r="F33" s="86">
        <v>0</v>
      </c>
      <c r="G33" s="86">
        <v>1200</v>
      </c>
      <c r="H33" s="86">
        <v>8131</v>
      </c>
      <c r="I33" s="86">
        <v>-679</v>
      </c>
      <c r="J33" s="86">
        <v>-152180</v>
      </c>
      <c r="K33" s="87">
        <f>SUM(D33:J33)</f>
        <v>541832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s="84" t="s">
        <v>116</v>
      </c>
      <c r="D34" s="6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6707</v>
      </c>
      <c r="K34" s="56">
        <f>SUM(D34:J34)</f>
        <v>6707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12.75">
      <c r="A35" s="84" t="s">
        <v>117</v>
      </c>
      <c r="D35" s="50">
        <f aca="true" t="shared" si="0" ref="D35:K35">D33+D34</f>
        <v>618966</v>
      </c>
      <c r="E35" s="50">
        <f t="shared" si="0"/>
        <v>66394</v>
      </c>
      <c r="F35" s="50">
        <f t="shared" si="0"/>
        <v>0</v>
      </c>
      <c r="G35" s="50">
        <f t="shared" si="0"/>
        <v>1200</v>
      </c>
      <c r="H35" s="50">
        <f t="shared" si="0"/>
        <v>8131</v>
      </c>
      <c r="I35" s="50">
        <f t="shared" si="0"/>
        <v>-679</v>
      </c>
      <c r="J35" s="50">
        <f t="shared" si="0"/>
        <v>-145473</v>
      </c>
      <c r="K35" s="50">
        <f t="shared" si="0"/>
        <v>548539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4:35" ht="12.7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12.75">
      <c r="A37" t="s">
        <v>69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-2020</v>
      </c>
      <c r="J37" s="50">
        <v>0</v>
      </c>
      <c r="K37" s="50">
        <f>SUM(D37:J37)</f>
        <v>-2020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4:35" ht="12.75">
      <c r="D38" s="50"/>
      <c r="E38" s="50"/>
      <c r="F38" s="50"/>
      <c r="G38" s="50"/>
      <c r="H38" s="50"/>
      <c r="I38" s="50"/>
      <c r="J38" s="16" t="s">
        <v>70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12.75">
      <c r="A39" t="s">
        <v>118</v>
      </c>
      <c r="D39" s="50">
        <v>0</v>
      </c>
      <c r="E39" s="50">
        <v>0</v>
      </c>
      <c r="F39" s="50">
        <v>103768</v>
      </c>
      <c r="G39" s="50">
        <v>0</v>
      </c>
      <c r="H39" s="50">
        <v>0</v>
      </c>
      <c r="I39" s="50">
        <v>0</v>
      </c>
      <c r="J39" s="16">
        <v>0</v>
      </c>
      <c r="K39" s="50">
        <f>SUM(D39:J39)</f>
        <v>103768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4:35" ht="12.75">
      <c r="D40" s="50"/>
      <c r="E40" s="50"/>
      <c r="F40" s="50"/>
      <c r="G40" s="50"/>
      <c r="H40" s="50"/>
      <c r="I40" s="50"/>
      <c r="J40" s="16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12.75">
      <c r="A41" t="s">
        <v>66</v>
      </c>
      <c r="D41" s="50">
        <v>0</v>
      </c>
      <c r="E41" s="50">
        <v>0</v>
      </c>
      <c r="F41" s="50">
        <v>0</v>
      </c>
      <c r="G41" s="50">
        <v>0</v>
      </c>
      <c r="H41" s="50">
        <v>299</v>
      </c>
      <c r="I41" s="50">
        <v>0</v>
      </c>
      <c r="J41" s="50">
        <v>0</v>
      </c>
      <c r="K41" s="50">
        <f>SUM(D41:J41)</f>
        <v>299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4:35" ht="12.7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12.75">
      <c r="A43" t="s">
        <v>114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-6249</v>
      </c>
      <c r="K43" s="50">
        <f>SUM(D43:J43)</f>
        <v>-6249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12.75">
      <c r="A45" t="s">
        <v>67</v>
      </c>
      <c r="D45" s="50">
        <v>0</v>
      </c>
      <c r="E45" s="50">
        <v>0</v>
      </c>
      <c r="F45" s="50"/>
      <c r="G45" s="50">
        <v>0</v>
      </c>
      <c r="H45" s="50">
        <v>0</v>
      </c>
      <c r="I45" s="50">
        <v>0</v>
      </c>
      <c r="J45" s="50">
        <v>-9490</v>
      </c>
      <c r="K45" s="50">
        <f>SUM(D45:J45)</f>
        <v>-9490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4:35" ht="12.7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3.5" thickBot="1">
      <c r="A47" s="59" t="s">
        <v>157</v>
      </c>
      <c r="D47" s="58">
        <f>SUM(D35:D46)</f>
        <v>618966</v>
      </c>
      <c r="E47" s="58">
        <f>SUM(E35:E46)</f>
        <v>66394</v>
      </c>
      <c r="F47" s="58">
        <f>SUM(F33:F46)</f>
        <v>103768</v>
      </c>
      <c r="G47" s="58">
        <f>SUM(G35:G46)</f>
        <v>1200</v>
      </c>
      <c r="H47" s="58">
        <f>SUM(H35:H46)</f>
        <v>8430</v>
      </c>
      <c r="I47" s="58">
        <f>SUM(I35:I46)</f>
        <v>-2699</v>
      </c>
      <c r="J47" s="58">
        <f>SUM(J35:J46)</f>
        <v>-161212</v>
      </c>
      <c r="K47" s="58">
        <f>SUM(K35:K46)</f>
        <v>634847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ht="12.75">
      <c r="A51" s="99" t="s">
        <v>71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ht="12.75">
      <c r="A52" s="15" t="s">
        <v>132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4:35" ht="12.7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4:35" ht="12.7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4:35" ht="12.7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4:35" ht="12.7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4:35" ht="12.7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</sheetData>
  <mergeCells count="6">
    <mergeCell ref="A51:K51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35">
      <selection activeCell="J57" sqref="J57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96" t="s">
        <v>1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7" t="s">
        <v>41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 t="s">
        <v>42</v>
      </c>
      <c r="B3" s="97"/>
      <c r="C3" s="97"/>
      <c r="D3" s="97"/>
      <c r="E3" s="97"/>
      <c r="F3" s="97"/>
      <c r="G3" s="97"/>
      <c r="H3" s="97"/>
      <c r="I3" s="97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152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161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123</v>
      </c>
    </row>
    <row r="10" spans="1:10" ht="15.75">
      <c r="A10" s="65"/>
      <c r="B10" s="33"/>
      <c r="C10" s="30"/>
      <c r="D10" s="31"/>
      <c r="E10" s="31"/>
      <c r="F10" s="31"/>
      <c r="G10" s="34"/>
      <c r="H10" s="82" t="s">
        <v>139</v>
      </c>
      <c r="I10" s="11"/>
      <c r="J10" s="82" t="s">
        <v>135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35</v>
      </c>
      <c r="I11" s="11"/>
      <c r="J11" s="82" t="s">
        <v>140</v>
      </c>
    </row>
    <row r="12" spans="1:10" ht="15.75">
      <c r="A12" s="65"/>
      <c r="B12" s="33"/>
      <c r="C12" s="30"/>
      <c r="D12" s="31"/>
      <c r="E12" s="31"/>
      <c r="F12" s="31"/>
      <c r="G12" s="34"/>
      <c r="H12" s="94" t="s">
        <v>159</v>
      </c>
      <c r="I12" s="3"/>
      <c r="J12" s="78" t="s">
        <v>160</v>
      </c>
    </row>
    <row r="14" spans="8:10" ht="12.75">
      <c r="H14" s="26" t="s">
        <v>13</v>
      </c>
      <c r="J14" s="26" t="s">
        <v>13</v>
      </c>
    </row>
    <row r="15" ht="12.75">
      <c r="A15" s="5" t="s">
        <v>72</v>
      </c>
    </row>
    <row r="16" spans="2:10" ht="12.75">
      <c r="B16" s="59" t="s">
        <v>146</v>
      </c>
      <c r="H16" s="50">
        <f>'[4]cashflow'!$G$8</f>
        <v>42141.87943289341</v>
      </c>
      <c r="J16" s="50">
        <v>136</v>
      </c>
    </row>
    <row r="17" spans="8:10" ht="12.75">
      <c r="H17" s="50"/>
      <c r="J17" s="50"/>
    </row>
    <row r="18" spans="2:10" ht="12.75">
      <c r="B18" s="59" t="s">
        <v>104</v>
      </c>
      <c r="H18" s="50"/>
      <c r="J18" s="50"/>
    </row>
    <row r="19" spans="3:10" ht="12.75">
      <c r="C19" t="s">
        <v>73</v>
      </c>
      <c r="H19" s="50">
        <f>'[4]cashflow'!$I$38</f>
        <v>-12059.396268960503</v>
      </c>
      <c r="J19" s="50">
        <v>-213</v>
      </c>
    </row>
    <row r="20" spans="3:10" ht="12.75">
      <c r="C20" t="s">
        <v>74</v>
      </c>
      <c r="H20" s="50">
        <f>'[4]cashflow'!$G$24</f>
        <v>1639.202040000002</v>
      </c>
      <c r="J20" s="50">
        <v>3532</v>
      </c>
    </row>
    <row r="21" spans="3:10" ht="12.75">
      <c r="C21" t="s">
        <v>75</v>
      </c>
      <c r="H21" s="50">
        <f>'[4]cashflow'!$G$25</f>
        <v>-2719.0763439</v>
      </c>
      <c r="J21" s="50">
        <v>-3818</v>
      </c>
    </row>
    <row r="22" spans="8:10" ht="12.75">
      <c r="H22" s="57"/>
      <c r="J22" s="57"/>
    </row>
    <row r="23" spans="2:10" ht="12.75">
      <c r="B23" s="59" t="s">
        <v>168</v>
      </c>
      <c r="H23" s="50">
        <f>SUM(H16:H21)</f>
        <v>29002.60886003291</v>
      </c>
      <c r="J23" s="50">
        <f>SUM(J16:J21)</f>
        <v>-363</v>
      </c>
    </row>
    <row r="24" spans="8:10" ht="12.75">
      <c r="H24" s="50"/>
      <c r="J24" s="50"/>
    </row>
    <row r="25" spans="2:10" ht="12.75">
      <c r="B25" t="s">
        <v>76</v>
      </c>
      <c r="H25" s="50"/>
      <c r="J25" s="50"/>
    </row>
    <row r="26" spans="3:10" ht="12.75">
      <c r="C26" t="s">
        <v>77</v>
      </c>
      <c r="H26" s="50">
        <f>SUM('[4]cashflow'!$G$46:$G$53)-'[4]cashflow'!$G$47</f>
        <v>-120798.95723267045</v>
      </c>
      <c r="J26" s="50">
        <v>75260</v>
      </c>
    </row>
    <row r="27" spans="3:10" ht="12.75">
      <c r="C27" t="s">
        <v>78</v>
      </c>
      <c r="H27" s="50">
        <f>'[4]cashflow'!$G$47+1</f>
        <v>16593.990813517492</v>
      </c>
      <c r="J27" s="50">
        <f>-11257-6249</f>
        <v>-17506</v>
      </c>
    </row>
    <row r="28" spans="8:10" ht="12.75">
      <c r="H28" s="57"/>
      <c r="J28" s="57"/>
    </row>
    <row r="29" spans="2:10" ht="12.75">
      <c r="B29" s="15" t="s">
        <v>126</v>
      </c>
      <c r="H29" s="50">
        <f>SUM(H23:H27)</f>
        <v>-75202.35755912005</v>
      </c>
      <c r="J29" s="50">
        <f>SUM(J23:J27)</f>
        <v>57391</v>
      </c>
    </row>
    <row r="30" spans="8:10" ht="12.75">
      <c r="H30" s="50"/>
      <c r="J30" s="50"/>
    </row>
    <row r="31" spans="2:10" ht="12.75">
      <c r="B31" t="s">
        <v>74</v>
      </c>
      <c r="H31" s="50">
        <f>-H20</f>
        <v>-1639.202040000002</v>
      </c>
      <c r="J31" s="50">
        <f>-J20</f>
        <v>-3532</v>
      </c>
    </row>
    <row r="32" spans="2:10" ht="12.75">
      <c r="B32" t="s">
        <v>75</v>
      </c>
      <c r="H32" s="50">
        <f>-H21</f>
        <v>2719.0763439</v>
      </c>
      <c r="J32" s="50">
        <f>-J21</f>
        <v>3818</v>
      </c>
    </row>
    <row r="33" spans="2:10" ht="12.75">
      <c r="B33" t="s">
        <v>79</v>
      </c>
      <c r="H33" s="50">
        <f>'[4]cashflow'!$G$59</f>
        <v>-3320.4456822900006</v>
      </c>
      <c r="J33" s="50">
        <v>-2411</v>
      </c>
    </row>
    <row r="34" spans="8:10" ht="12.75">
      <c r="H34" s="57"/>
      <c r="J34" s="50"/>
    </row>
    <row r="35" spans="2:10" ht="12.75">
      <c r="B35" s="15" t="s">
        <v>127</v>
      </c>
      <c r="H35" s="60">
        <f>SUM(H29:H34)+1</f>
        <v>-77441.92893751005</v>
      </c>
      <c r="J35" s="60">
        <f>SUM(J29:J34)</f>
        <v>55266</v>
      </c>
    </row>
    <row r="36" spans="2:10" ht="12.75">
      <c r="B36" s="6" t="s">
        <v>6</v>
      </c>
      <c r="H36" s="50"/>
      <c r="J36" s="50"/>
    </row>
    <row r="37" spans="1:10" ht="12.75">
      <c r="A37" s="5" t="s">
        <v>80</v>
      </c>
      <c r="H37" s="50"/>
      <c r="J37" s="50"/>
    </row>
    <row r="38" spans="2:10" ht="12.75">
      <c r="B38" t="s">
        <v>81</v>
      </c>
      <c r="H38" s="50">
        <f>'[4]cashflow'!$G$67</f>
        <v>-5516.52712718</v>
      </c>
      <c r="J38" s="50">
        <v>-23227</v>
      </c>
    </row>
    <row r="39" spans="2:10" ht="12.75">
      <c r="B39" t="s">
        <v>144</v>
      </c>
      <c r="H39" s="50">
        <v>0</v>
      </c>
      <c r="J39" s="50">
        <v>-45500</v>
      </c>
    </row>
    <row r="40" spans="2:10" ht="12.75">
      <c r="B40" t="s">
        <v>83</v>
      </c>
      <c r="H40" s="50">
        <f>'[4]cashflow'!$G$66</f>
        <v>852.5431380850035</v>
      </c>
      <c r="J40" s="50">
        <v>7311</v>
      </c>
    </row>
    <row r="41" spans="2:10" ht="12.75">
      <c r="B41" s="59" t="s">
        <v>143</v>
      </c>
      <c r="H41" s="50">
        <f>'[4]cashflow'!$G$71</f>
        <v>11187</v>
      </c>
      <c r="J41" s="50">
        <v>2999</v>
      </c>
    </row>
    <row r="42" spans="2:10" ht="12.75">
      <c r="B42" s="59" t="s">
        <v>90</v>
      </c>
      <c r="H42" s="50">
        <f>'[4]cashflow'!$G$73</f>
        <v>31007.80545</v>
      </c>
      <c r="J42" s="50">
        <v>8320</v>
      </c>
    </row>
    <row r="43" spans="2:10" ht="12.75">
      <c r="B43" s="59" t="s">
        <v>91</v>
      </c>
      <c r="H43" s="50">
        <f>'[4]cashflow'!$G$72</f>
        <v>2548</v>
      </c>
      <c r="J43" s="50">
        <v>1166</v>
      </c>
    </row>
    <row r="44" spans="8:10" ht="12.75">
      <c r="H44" s="50"/>
      <c r="J44" s="50"/>
    </row>
    <row r="45" spans="2:10" ht="12.75">
      <c r="B45" s="15" t="s">
        <v>128</v>
      </c>
      <c r="H45" s="60">
        <f>SUM(H38:H43)</f>
        <v>40078.821460905005</v>
      </c>
      <c r="J45" s="60">
        <f>SUM(J38:J43)</f>
        <v>-48931</v>
      </c>
    </row>
    <row r="46" spans="8:10" ht="12.75">
      <c r="H46" s="50"/>
      <c r="J46" s="50"/>
    </row>
    <row r="47" spans="1:10" ht="12.75">
      <c r="A47" s="5" t="s">
        <v>84</v>
      </c>
      <c r="H47" s="50"/>
      <c r="J47" s="50"/>
    </row>
    <row r="48" spans="1:10" ht="12.75">
      <c r="A48" s="5"/>
      <c r="B48" t="s">
        <v>86</v>
      </c>
      <c r="H48" s="50">
        <f>'[4]cashflow'!$G$83</f>
        <v>-510</v>
      </c>
      <c r="J48" s="50">
        <v>4834</v>
      </c>
    </row>
    <row r="49" spans="1:10" ht="12.75">
      <c r="A49" s="5"/>
      <c r="B49" t="s">
        <v>87</v>
      </c>
      <c r="H49" s="50">
        <f>'[4]cashflow'!$G$84</f>
        <v>-29</v>
      </c>
      <c r="J49" s="50">
        <v>-61477</v>
      </c>
    </row>
    <row r="50" spans="1:10" ht="12.75">
      <c r="A50" s="5"/>
      <c r="B50" t="s">
        <v>88</v>
      </c>
      <c r="H50" s="50">
        <f>'[4]cashflow'!$G$88</f>
        <v>-787</v>
      </c>
      <c r="J50" s="50">
        <v>-2020</v>
      </c>
    </row>
    <row r="51" spans="2:10" ht="12.75">
      <c r="B51" t="s">
        <v>85</v>
      </c>
      <c r="H51" s="50">
        <f>'[4]cashflow'!$G$86</f>
        <v>-2097.4726500000015</v>
      </c>
      <c r="J51" s="50">
        <v>-4113</v>
      </c>
    </row>
    <row r="52" spans="2:10" ht="12.75">
      <c r="B52" t="s">
        <v>89</v>
      </c>
      <c r="H52" s="50">
        <f>'[4]cashflow'!$G$87</f>
        <v>-357.58045899999985</v>
      </c>
      <c r="J52" s="50">
        <v>-879</v>
      </c>
    </row>
    <row r="53" spans="2:10" ht="12.75">
      <c r="B53" s="59" t="s">
        <v>142</v>
      </c>
      <c r="H53" s="50">
        <f>'[4]cashflow'!$G$89</f>
        <v>-1767.7491798560002</v>
      </c>
      <c r="J53" s="50">
        <v>0</v>
      </c>
    </row>
    <row r="54" spans="2:10" ht="12.75">
      <c r="B54" t="s">
        <v>141</v>
      </c>
      <c r="H54" s="50">
        <f>'[4]cashflow'!$G$90</f>
        <v>-120</v>
      </c>
      <c r="J54" s="50">
        <v>0</v>
      </c>
    </row>
    <row r="55" spans="8:10" ht="12.75">
      <c r="H55" s="50"/>
      <c r="J55" s="50"/>
    </row>
    <row r="56" spans="2:10" ht="12.75">
      <c r="B56" s="15" t="s">
        <v>162</v>
      </c>
      <c r="H56" s="60">
        <f>SUM(H48:H55)</f>
        <v>-5668.802288856002</v>
      </c>
      <c r="J56" s="60">
        <f>SUM(J48:J54)</f>
        <v>-63655</v>
      </c>
    </row>
    <row r="57" spans="8:10" ht="12.75">
      <c r="H57" s="50"/>
      <c r="J57" s="50"/>
    </row>
    <row r="58" spans="1:10" ht="12.75">
      <c r="A58" s="15" t="s">
        <v>147</v>
      </c>
      <c r="H58" s="50">
        <f>H35+H45+H56</f>
        <v>-43031.909765461045</v>
      </c>
      <c r="J58" s="50">
        <f>J35+J45+J56</f>
        <v>-57320</v>
      </c>
    </row>
    <row r="59" spans="8:10" ht="12.75">
      <c r="H59" s="50"/>
      <c r="J59" s="50"/>
    </row>
    <row r="60" spans="1:10" ht="12.75">
      <c r="A60" s="15" t="s">
        <v>129</v>
      </c>
      <c r="H60" s="50">
        <f>'[4]cashflow'!$G$99</f>
        <v>148368</v>
      </c>
      <c r="J60" s="50">
        <v>165247</v>
      </c>
    </row>
    <row r="61" spans="1:10" ht="12.75">
      <c r="A61" s="5"/>
      <c r="H61" s="50"/>
      <c r="J61" s="50"/>
    </row>
    <row r="62" spans="1:10" ht="12.75">
      <c r="A62" s="5" t="s">
        <v>92</v>
      </c>
      <c r="H62" s="50">
        <f>'[4]cashflow'!$G$97-1</f>
        <v>527.5879000000009</v>
      </c>
      <c r="J62" s="50">
        <v>-7</v>
      </c>
    </row>
    <row r="63" spans="1:10" ht="12.75">
      <c r="A63" s="5"/>
      <c r="H63" s="50"/>
      <c r="J63" s="50"/>
    </row>
    <row r="64" spans="1:10" ht="13.5" thickBot="1">
      <c r="A64" s="15" t="s">
        <v>130</v>
      </c>
      <c r="H64" s="58">
        <f>SUM(H58:H62)</f>
        <v>105863.67813453895</v>
      </c>
      <c r="J64" s="58">
        <f>SUM(J58:J62)</f>
        <v>107920</v>
      </c>
    </row>
    <row r="65" ht="12.75">
      <c r="J65" s="50"/>
    </row>
    <row r="66" ht="12.75">
      <c r="J66" s="50"/>
    </row>
    <row r="67" spans="1:10" ht="12.75">
      <c r="A67" s="15" t="s">
        <v>93</v>
      </c>
      <c r="J67" s="50"/>
    </row>
    <row r="68" ht="12.75">
      <c r="J68" s="50"/>
    </row>
    <row r="69" spans="2:10" ht="12.75">
      <c r="B69" s="5" t="s">
        <v>94</v>
      </c>
      <c r="H69" s="50">
        <f>'[4]cashflow'!$G$107</f>
        <v>-2765.4207499999998</v>
      </c>
      <c r="J69" s="50">
        <v>-8875</v>
      </c>
    </row>
    <row r="70" spans="2:10" ht="12.75">
      <c r="B70" s="5" t="s">
        <v>26</v>
      </c>
      <c r="H70" s="50">
        <f>'[4]cashflow'!$G$105</f>
        <v>20737.882364815</v>
      </c>
      <c r="J70" s="50">
        <v>15080</v>
      </c>
    </row>
    <row r="71" spans="2:10" ht="12.75">
      <c r="B71" s="5" t="s">
        <v>95</v>
      </c>
      <c r="H71" s="50">
        <f>'[4]cashflow'!$G$106</f>
        <v>87891.00026568002</v>
      </c>
      <c r="J71" s="50">
        <v>101715</v>
      </c>
    </row>
    <row r="72" spans="8:10" ht="12.75">
      <c r="H72" s="50"/>
      <c r="J72" s="50"/>
    </row>
    <row r="73" spans="8:10" ht="13.5" thickBot="1">
      <c r="H73" s="58">
        <f>SUM(H69:H71)+1</f>
        <v>105864.46188049502</v>
      </c>
      <c r="J73" s="58">
        <f>SUM(J69:J71)</f>
        <v>107920</v>
      </c>
    </row>
    <row r="74" ht="12.75">
      <c r="H74" s="54"/>
    </row>
    <row r="76" ht="12.75">
      <c r="A76" s="15"/>
    </row>
    <row r="77" spans="3:11" ht="12.75">
      <c r="C77" s="98" t="s">
        <v>124</v>
      </c>
      <c r="D77" s="99"/>
      <c r="E77" s="99"/>
      <c r="F77" s="99"/>
      <c r="G77" s="99"/>
      <c r="H77" s="99"/>
      <c r="I77" s="99"/>
      <c r="J77" s="99"/>
      <c r="K77" s="99"/>
    </row>
    <row r="78" ht="12.75">
      <c r="C78" s="15" t="s">
        <v>125</v>
      </c>
    </row>
  </sheetData>
  <mergeCells count="4">
    <mergeCell ref="C77:K77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69"/>
  <sheetViews>
    <sheetView zoomScale="75" zoomScaleNormal="75" workbookViewId="0" topLeftCell="B24">
      <selection activeCell="J54" sqref="J54"/>
    </sheetView>
  </sheetViews>
  <sheetFormatPr defaultColWidth="9.140625" defaultRowHeight="12.75"/>
  <cols>
    <col min="1" max="1" width="48.7109375" style="0" customWidth="1"/>
    <col min="2" max="3" width="10.7109375" style="0" customWidth="1"/>
    <col min="4" max="4" width="18.7109375" style="0" customWidth="1"/>
    <col min="5" max="5" width="1.7109375" style="0" customWidth="1"/>
    <col min="6" max="6" width="24.281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100" t="s">
        <v>11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</row>
    <row r="6" ht="12.75">
      <c r="A6" s="39">
        <v>38134</v>
      </c>
    </row>
    <row r="7" ht="12.75">
      <c r="A7" s="39"/>
    </row>
    <row r="8" ht="12.75">
      <c r="A8" s="40"/>
    </row>
    <row r="9" ht="12.75">
      <c r="A9" s="95" t="s">
        <v>163</v>
      </c>
    </row>
    <row r="10" ht="12.75">
      <c r="A10" s="40" t="s">
        <v>43</v>
      </c>
    </row>
    <row r="11" ht="12.75">
      <c r="A11" s="40" t="s">
        <v>44</v>
      </c>
    </row>
    <row r="12" ht="12.75">
      <c r="A12" s="40" t="s">
        <v>45</v>
      </c>
    </row>
    <row r="13" ht="12.75">
      <c r="A13" s="37"/>
    </row>
    <row r="15" spans="1:10" ht="13.5" thickBot="1">
      <c r="A15" s="63" t="s">
        <v>158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46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10" ht="12.75">
      <c r="A19" s="5"/>
      <c r="B19" s="5"/>
      <c r="C19" s="5"/>
      <c r="D19" s="106" t="s">
        <v>99</v>
      </c>
      <c r="E19" s="107"/>
      <c r="F19" s="108"/>
      <c r="G19" s="19"/>
      <c r="H19" s="103" t="s">
        <v>17</v>
      </c>
      <c r="I19" s="104"/>
      <c r="J19" s="105"/>
    </row>
    <row r="20" spans="1:10" ht="12.75">
      <c r="A20" s="5"/>
      <c r="B20" s="5"/>
      <c r="C20" s="5"/>
      <c r="D20" s="17">
        <v>2004</v>
      </c>
      <c r="E20" s="18"/>
      <c r="F20" s="71">
        <v>2003</v>
      </c>
      <c r="G20" s="26"/>
      <c r="H20" s="17">
        <v>2004</v>
      </c>
      <c r="I20" s="18"/>
      <c r="J20" s="71">
        <v>2003</v>
      </c>
    </row>
    <row r="21" spans="1:10" ht="12.75">
      <c r="A21" s="5"/>
      <c r="B21" s="5"/>
      <c r="C21" s="5"/>
      <c r="D21" s="77" t="s">
        <v>122</v>
      </c>
      <c r="E21" s="18"/>
      <c r="F21" s="71" t="s">
        <v>38</v>
      </c>
      <c r="G21" s="26"/>
      <c r="H21" s="17" t="s">
        <v>39</v>
      </c>
      <c r="I21" s="18"/>
      <c r="J21" s="71" t="s">
        <v>38</v>
      </c>
    </row>
    <row r="22" spans="1:10" ht="12.75">
      <c r="A22" s="5"/>
      <c r="B22" s="5"/>
      <c r="C22" s="5"/>
      <c r="D22" s="17" t="s">
        <v>35</v>
      </c>
      <c r="E22" s="18"/>
      <c r="F22" s="71" t="s">
        <v>36</v>
      </c>
      <c r="G22" s="26"/>
      <c r="H22" s="17" t="s">
        <v>35</v>
      </c>
      <c r="I22" s="18"/>
      <c r="J22" s="71" t="s">
        <v>40</v>
      </c>
    </row>
    <row r="23" spans="1:10" ht="12.75">
      <c r="A23" s="5"/>
      <c r="B23" s="5"/>
      <c r="C23" s="5"/>
      <c r="D23" s="69">
        <v>38077</v>
      </c>
      <c r="E23" s="21"/>
      <c r="F23" s="72">
        <v>37711</v>
      </c>
      <c r="G23" s="27"/>
      <c r="H23" s="69">
        <v>38077</v>
      </c>
      <c r="I23" s="76"/>
      <c r="J23" s="72">
        <v>37711</v>
      </c>
    </row>
    <row r="24" spans="1:10" ht="12.75">
      <c r="A24" s="5"/>
      <c r="B24" s="5"/>
      <c r="C24" s="5"/>
      <c r="D24" s="17" t="s">
        <v>13</v>
      </c>
      <c r="E24" s="21"/>
      <c r="F24" s="71" t="s">
        <v>13</v>
      </c>
      <c r="G24" s="26"/>
      <c r="H24" s="17" t="s">
        <v>15</v>
      </c>
      <c r="I24" s="18"/>
      <c r="J24" s="71" t="s">
        <v>15</v>
      </c>
    </row>
    <row r="25" spans="4:10" ht="12.75">
      <c r="D25" s="20"/>
      <c r="E25" s="21"/>
      <c r="F25" s="73"/>
      <c r="H25" s="20"/>
      <c r="I25" s="21"/>
      <c r="J25" s="73"/>
    </row>
    <row r="26" spans="1:18" ht="12.75">
      <c r="A26" s="49" t="s">
        <v>37</v>
      </c>
      <c r="B26" s="50"/>
      <c r="C26" s="50"/>
      <c r="D26" s="51">
        <f>'[5]P&amp;L'!$F$26</f>
        <v>42660.932774374</v>
      </c>
      <c r="E26" s="52"/>
      <c r="F26" s="53">
        <v>36135</v>
      </c>
      <c r="G26" s="50"/>
      <c r="H26" s="51">
        <f>'[2]M-GER95A.XLS'!$U$125</f>
        <v>112442.932774374</v>
      </c>
      <c r="I26" s="52"/>
      <c r="J26" s="53">
        <v>109665</v>
      </c>
      <c r="K26" s="54"/>
      <c r="L26" s="54"/>
      <c r="M26" s="54"/>
      <c r="N26" s="54"/>
      <c r="O26" s="54"/>
      <c r="P26" s="54"/>
      <c r="Q26" s="54"/>
      <c r="R26" s="54"/>
    </row>
    <row r="27" spans="1:18" ht="12.75">
      <c r="A27" s="49"/>
      <c r="B27" s="50"/>
      <c r="C27" s="50"/>
      <c r="D27" s="51"/>
      <c r="E27" s="52"/>
      <c r="F27" s="53"/>
      <c r="G27" s="50"/>
      <c r="H27" s="51"/>
      <c r="I27" s="52"/>
      <c r="J27" s="53"/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61" t="s">
        <v>98</v>
      </c>
      <c r="B28" s="50"/>
      <c r="C28" s="50"/>
      <c r="D28" s="51">
        <f>'[5]P&amp;L'!$F$28</f>
        <v>-37313.07028484999</v>
      </c>
      <c r="E28" s="52"/>
      <c r="F28" s="53">
        <v>-41626</v>
      </c>
      <c r="G28" s="50"/>
      <c r="H28" s="51">
        <f>-'[2]M-GER95A.XLS'!$P$664-'[2]M-GER95A.XLS'!$P$675-'[2]M-GER95A.XLS'!$P$678-'[2]M-GER95A.XLS'!$P$682-1</f>
        <v>-106097.07028485</v>
      </c>
      <c r="I28" s="52"/>
      <c r="J28" s="53">
        <v>-123899</v>
      </c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61"/>
      <c r="B29" s="50"/>
      <c r="C29" s="50"/>
      <c r="D29" s="51"/>
      <c r="E29" s="52"/>
      <c r="F29" s="53"/>
      <c r="G29" s="50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 t="s">
        <v>47</v>
      </c>
      <c r="D30" s="66">
        <f>'[5]P&amp;L'!$F$30</f>
        <v>8155.017863655503</v>
      </c>
      <c r="E30" s="52"/>
      <c r="F30" s="56">
        <v>5574</v>
      </c>
      <c r="G30" s="50"/>
      <c r="H30" s="66">
        <f>'[2]M-GER95A.XLS'!$N$641</f>
        <v>31499.017863655503</v>
      </c>
      <c r="I30" s="52"/>
      <c r="J30" s="56">
        <v>14070</v>
      </c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/>
      <c r="B31" s="50"/>
      <c r="C31" s="50"/>
      <c r="D31" s="51"/>
      <c r="E31" s="52"/>
      <c r="F31" s="53"/>
      <c r="G31" s="50"/>
      <c r="H31" s="51"/>
      <c r="I31" s="52"/>
      <c r="J31" s="53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61" t="s">
        <v>105</v>
      </c>
      <c r="B32" s="80"/>
      <c r="C32" s="80"/>
      <c r="D32" s="51">
        <f>SUM(D26:D30)</f>
        <v>13502.88035317951</v>
      </c>
      <c r="E32" s="52"/>
      <c r="F32" s="53">
        <f>SUM(F26:F30)</f>
        <v>83</v>
      </c>
      <c r="G32" s="50"/>
      <c r="H32" s="51">
        <f>SUM(H26:H30)</f>
        <v>37844.88035317951</v>
      </c>
      <c r="I32" s="52"/>
      <c r="J32" s="53">
        <f>SUM(J26:J30)</f>
        <v>-164</v>
      </c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49"/>
      <c r="B33" s="50"/>
      <c r="C33" s="50"/>
      <c r="D33" s="51"/>
      <c r="E33" s="52"/>
      <c r="F33" s="53"/>
      <c r="G33" s="50"/>
      <c r="H33" s="51"/>
      <c r="I33" s="52"/>
      <c r="J33" s="53"/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49" t="s">
        <v>48</v>
      </c>
      <c r="B34" s="93" t="s">
        <v>106</v>
      </c>
      <c r="C34" s="80"/>
      <c r="D34" s="51">
        <f>'[5]P&amp;L'!$F$34</f>
        <v>-537.202040000002</v>
      </c>
      <c r="E34" s="52"/>
      <c r="F34" s="53">
        <v>-1050</v>
      </c>
      <c r="G34" s="50"/>
      <c r="H34" s="51">
        <f>-'[2]M-GER95A.XLS'!$P$688</f>
        <v>-1639.202040000002</v>
      </c>
      <c r="I34" s="52"/>
      <c r="J34" s="53">
        <v>-3532</v>
      </c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/>
      <c r="B35" s="50"/>
      <c r="C35" s="50"/>
      <c r="D35" s="51"/>
      <c r="E35" s="52"/>
      <c r="F35" s="53"/>
      <c r="G35" s="50"/>
      <c r="H35" s="51"/>
      <c r="I35" s="52"/>
      <c r="J35" s="53"/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49" t="s">
        <v>97</v>
      </c>
      <c r="B36" s="50"/>
      <c r="C36" s="50"/>
      <c r="D36" s="51">
        <v>698</v>
      </c>
      <c r="E36" s="52"/>
      <c r="F36" s="53">
        <v>-767</v>
      </c>
      <c r="G36" s="50"/>
      <c r="H36" s="51">
        <f>'[2]M-GER95A.XLS'!$U$229</f>
        <v>4941</v>
      </c>
      <c r="I36" s="52"/>
      <c r="J36" s="53">
        <f>-874</f>
        <v>-874</v>
      </c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49"/>
      <c r="B37" s="50"/>
      <c r="C37" s="50"/>
      <c r="D37" s="51"/>
      <c r="E37" s="52"/>
      <c r="F37" s="53"/>
      <c r="G37" s="50"/>
      <c r="H37" s="51"/>
      <c r="I37" s="52"/>
      <c r="J37" s="53"/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 t="s">
        <v>49</v>
      </c>
      <c r="B38" s="50"/>
      <c r="C38" s="50"/>
      <c r="D38" s="66">
        <f>'[5]P&amp;L'!$F$38</f>
        <v>453.47855000000004</v>
      </c>
      <c r="E38" s="52"/>
      <c r="F38" s="56">
        <v>315</v>
      </c>
      <c r="G38" s="50"/>
      <c r="H38" s="66">
        <f>'[2]M-GER95A.XLS'!$U$230</f>
        <v>994.47855</v>
      </c>
      <c r="I38" s="52"/>
      <c r="J38" s="56">
        <f>207+F38</f>
        <v>522</v>
      </c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/>
      <c r="B39" s="50"/>
      <c r="C39" s="50"/>
      <c r="D39" s="51"/>
      <c r="E39" s="52"/>
      <c r="F39" s="53"/>
      <c r="G39" s="50"/>
      <c r="H39" s="51"/>
      <c r="I39" s="52"/>
      <c r="J39" s="53"/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61" t="s">
        <v>103</v>
      </c>
      <c r="B40" s="80" t="s">
        <v>133</v>
      </c>
      <c r="C40" s="50"/>
      <c r="D40" s="51">
        <f>SUM(D32:D38)</f>
        <v>14117.156863179507</v>
      </c>
      <c r="E40" s="52"/>
      <c r="F40" s="53">
        <f>SUM(F32:F38)</f>
        <v>-1419</v>
      </c>
      <c r="G40" s="50"/>
      <c r="H40" s="51">
        <f>SUM(H32:H38)</f>
        <v>42141.15686317951</v>
      </c>
      <c r="I40" s="52"/>
      <c r="J40" s="53">
        <f>SUM(J32:J38)</f>
        <v>-4048</v>
      </c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49"/>
      <c r="B41" s="50"/>
      <c r="C41" s="50"/>
      <c r="D41" s="51"/>
      <c r="E41" s="52"/>
      <c r="F41" s="53"/>
      <c r="G41" s="50"/>
      <c r="H41" s="51"/>
      <c r="I41" s="52"/>
      <c r="J41" s="53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 t="s">
        <v>12</v>
      </c>
      <c r="B42" s="50"/>
      <c r="C42" s="50"/>
      <c r="D42" s="66">
        <f>'[5]P&amp;L'!$F$42</f>
        <v>-1464.8999999999996</v>
      </c>
      <c r="E42" s="52"/>
      <c r="F42" s="56">
        <v>-648</v>
      </c>
      <c r="G42" s="50"/>
      <c r="H42" s="66">
        <f>'[2]M-GER95A.XLS'!$U$232+1</f>
        <v>-3185.8999999999996</v>
      </c>
      <c r="I42" s="52"/>
      <c r="J42" s="56">
        <f>-2277+F42</f>
        <v>-2925</v>
      </c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/>
      <c r="B43" s="50"/>
      <c r="C43" s="50"/>
      <c r="D43" s="51"/>
      <c r="E43" s="52"/>
      <c r="F43" s="53"/>
      <c r="G43" s="50"/>
      <c r="H43" s="51"/>
      <c r="I43" s="52"/>
      <c r="J43" s="53"/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61" t="s">
        <v>100</v>
      </c>
      <c r="B44" s="50"/>
      <c r="C44" s="50"/>
      <c r="D44" s="51">
        <f>SUM(D40:D42)</f>
        <v>12652.256863179507</v>
      </c>
      <c r="E44" s="52"/>
      <c r="F44" s="53">
        <f>F40+F42</f>
        <v>-2067</v>
      </c>
      <c r="G44" s="50"/>
      <c r="H44" s="51">
        <f>SUM(H40:H42)</f>
        <v>38955.25686317951</v>
      </c>
      <c r="I44" s="52"/>
      <c r="J44" s="53">
        <f>SUM(J40:J42)</f>
        <v>-6973</v>
      </c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49"/>
      <c r="B45" s="50"/>
      <c r="C45" s="50"/>
      <c r="D45" s="51"/>
      <c r="E45" s="52"/>
      <c r="F45" s="53"/>
      <c r="G45" s="50"/>
      <c r="H45" s="51"/>
      <c r="I45" s="52"/>
      <c r="J45" s="53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 t="s">
        <v>10</v>
      </c>
      <c r="B46" s="50"/>
      <c r="C46" s="50"/>
      <c r="D46" s="51">
        <f>'[5]P&amp;L'!$F$46</f>
        <v>-1491.5244452058218</v>
      </c>
      <c r="E46" s="52"/>
      <c r="F46" s="53">
        <v>-308</v>
      </c>
      <c r="G46" s="50"/>
      <c r="H46" s="51">
        <f>'[2]M-GER95A.XLS'!$U$240+'[2]M-GER95A.XLS'!$U$242</f>
        <v>-2921.524445205822</v>
      </c>
      <c r="I46" s="52"/>
      <c r="J46" s="53">
        <f>-2209+F46</f>
        <v>-2517</v>
      </c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/>
      <c r="B47" s="50"/>
      <c r="C47" s="50"/>
      <c r="D47" s="51"/>
      <c r="E47" s="52"/>
      <c r="F47" s="53"/>
      <c r="G47" s="50"/>
      <c r="H47" s="51"/>
      <c r="I47" s="52"/>
      <c r="J47" s="53"/>
      <c r="K47" s="54"/>
      <c r="L47" s="54"/>
      <c r="M47" s="54"/>
      <c r="N47" s="54"/>
      <c r="O47" s="54"/>
      <c r="P47" s="54"/>
      <c r="Q47" s="54"/>
      <c r="R47" s="54"/>
    </row>
    <row r="48" spans="1:18" ht="13.5" thickBot="1">
      <c r="A48" s="61" t="s">
        <v>101</v>
      </c>
      <c r="B48" s="50"/>
      <c r="C48" s="50"/>
      <c r="D48" s="67">
        <f>SUM(D44:D46)-1</f>
        <v>11159.732417973686</v>
      </c>
      <c r="E48" s="52"/>
      <c r="F48" s="74">
        <f>F44+F46</f>
        <v>-2375</v>
      </c>
      <c r="G48" s="50"/>
      <c r="H48" s="67">
        <f>SUM(H44:H47)-1</f>
        <v>36032.73241797368</v>
      </c>
      <c r="I48" s="52"/>
      <c r="J48" s="74">
        <f>SUM(J44:J47)</f>
        <v>-9490</v>
      </c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49"/>
      <c r="B49" s="50"/>
      <c r="C49" s="50"/>
      <c r="D49" s="51"/>
      <c r="E49" s="52"/>
      <c r="F49" s="53"/>
      <c r="G49" s="50"/>
      <c r="H49" s="51"/>
      <c r="I49" s="52"/>
      <c r="J49" s="53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61" t="s">
        <v>102</v>
      </c>
      <c r="B51" s="50"/>
      <c r="C51" s="50"/>
      <c r="D51" s="51"/>
      <c r="E51" s="52"/>
      <c r="F51" s="53"/>
      <c r="G51" s="50"/>
      <c r="H51" s="51"/>
      <c r="I51" s="52"/>
      <c r="J51" s="75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55" t="s">
        <v>50</v>
      </c>
      <c r="B52" s="50"/>
      <c r="C52" s="50"/>
      <c r="D52" s="79">
        <f>'[5]P&amp;L'!$F$52</f>
        <v>1.837752840544265</v>
      </c>
      <c r="E52" s="52"/>
      <c r="F52" s="75">
        <v>0.39</v>
      </c>
      <c r="G52" s="50"/>
      <c r="H52" s="70">
        <f>'[3]June2001'!$C$46</f>
        <v>5.907752840544265</v>
      </c>
      <c r="I52" s="52"/>
      <c r="J52" s="75">
        <f>-1.54</f>
        <v>-1.54</v>
      </c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5" t="s">
        <v>51</v>
      </c>
      <c r="B53" s="50"/>
      <c r="C53" s="50"/>
      <c r="D53" s="79">
        <f>'[5]P&amp;L'!$F$53</f>
        <v>1.1094966281435976</v>
      </c>
      <c r="E53" s="52"/>
      <c r="F53" s="75">
        <v>0.07</v>
      </c>
      <c r="G53" s="50"/>
      <c r="H53" s="70">
        <f>'[3]June2001'!$C$58</f>
        <v>3.5294966281435975</v>
      </c>
      <c r="I53" s="52"/>
      <c r="J53" s="75">
        <v>0.03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66"/>
      <c r="E54" s="57"/>
      <c r="F54" s="56"/>
      <c r="G54" s="50"/>
      <c r="H54" s="66"/>
      <c r="I54" s="57"/>
      <c r="J54" s="56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61" t="s">
        <v>121</v>
      </c>
      <c r="B58" s="50"/>
      <c r="C58" s="50"/>
      <c r="D58" s="50"/>
      <c r="E58" s="50"/>
      <c r="F58" s="50"/>
      <c r="G58" s="50"/>
      <c r="H58" s="50"/>
      <c r="I58" s="50"/>
      <c r="J58" s="50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62" t="s">
        <v>166</v>
      </c>
      <c r="B59" s="50"/>
      <c r="C59" s="50"/>
      <c r="D59" s="50"/>
      <c r="E59" s="50"/>
      <c r="F59" s="50"/>
      <c r="G59" s="50"/>
      <c r="H59" s="50"/>
      <c r="I59" s="50"/>
      <c r="J59" s="50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62" t="s">
        <v>167</v>
      </c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62" t="s">
        <v>150</v>
      </c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1" t="s">
        <v>134</v>
      </c>
      <c r="B64" s="50"/>
      <c r="C64" s="50"/>
      <c r="D64" s="50"/>
      <c r="E64" s="50"/>
      <c r="F64" s="50"/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62" t="s">
        <v>164</v>
      </c>
      <c r="B65" s="50"/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62"/>
      <c r="B66" s="50"/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62"/>
      <c r="B67" s="50"/>
      <c r="C67" s="50"/>
      <c r="D67" s="89" t="s">
        <v>131</v>
      </c>
      <c r="E67" s="89"/>
      <c r="F67" s="90" t="s">
        <v>131</v>
      </c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2"/>
      <c r="B68" s="50"/>
      <c r="C68" s="50"/>
      <c r="D68" s="91" t="s">
        <v>159</v>
      </c>
      <c r="E68" s="83"/>
      <c r="F68" s="92" t="s">
        <v>160</v>
      </c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/>
      <c r="B69" s="50"/>
      <c r="C69" s="50"/>
      <c r="D69" s="68" t="s">
        <v>13</v>
      </c>
      <c r="E69" s="50"/>
      <c r="F69" s="68" t="s">
        <v>13</v>
      </c>
      <c r="G69" s="50"/>
      <c r="H69" s="50"/>
      <c r="I69" s="50"/>
      <c r="J69" s="50"/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62" t="s">
        <v>145</v>
      </c>
      <c r="B70" s="50"/>
      <c r="C70" s="50"/>
      <c r="D70" s="50">
        <f>8000+1500</f>
        <v>9500</v>
      </c>
      <c r="E70" s="50"/>
      <c r="F70" s="50">
        <v>0</v>
      </c>
      <c r="G70" s="50"/>
      <c r="H70" s="50"/>
      <c r="I70" s="50"/>
      <c r="J70" s="50"/>
      <c r="K70" s="54"/>
      <c r="L70" s="54"/>
      <c r="M70" s="54"/>
      <c r="N70" s="54"/>
      <c r="O70" s="54"/>
      <c r="P70" s="54"/>
      <c r="Q70" s="54"/>
      <c r="R70" s="54"/>
    </row>
    <row r="71" spans="1:18" ht="12.75">
      <c r="A71" s="62" t="s">
        <v>148</v>
      </c>
      <c r="B71" s="50"/>
      <c r="C71" s="50"/>
      <c r="D71" s="50">
        <v>2447</v>
      </c>
      <c r="E71" s="50"/>
      <c r="F71" s="50">
        <v>17345</v>
      </c>
      <c r="G71" s="50"/>
      <c r="H71" s="50"/>
      <c r="I71" s="50"/>
      <c r="J71" s="50"/>
      <c r="K71" s="54"/>
      <c r="L71" s="54"/>
      <c r="M71" s="54"/>
      <c r="N71" s="54"/>
      <c r="O71" s="54"/>
      <c r="P71" s="54"/>
      <c r="Q71" s="54"/>
      <c r="R71" s="54"/>
    </row>
    <row r="72" spans="1:18" ht="12.75">
      <c r="A72" s="62" t="s">
        <v>165</v>
      </c>
      <c r="B72" s="50"/>
      <c r="C72" s="50"/>
      <c r="D72" s="50">
        <v>4941</v>
      </c>
      <c r="E72" s="50"/>
      <c r="F72" s="50">
        <v>-767</v>
      </c>
      <c r="G72" s="50"/>
      <c r="H72" s="50"/>
      <c r="I72" s="50"/>
      <c r="J72" s="50"/>
      <c r="K72" s="54"/>
      <c r="L72" s="54"/>
      <c r="M72" s="54"/>
      <c r="N72" s="54"/>
      <c r="O72" s="54"/>
      <c r="P72" s="54"/>
      <c r="Q72" s="54"/>
      <c r="R72" s="54"/>
    </row>
    <row r="73" spans="1:18" ht="12.75">
      <c r="A73" s="62" t="s">
        <v>149</v>
      </c>
      <c r="B73" s="50"/>
      <c r="C73" s="50"/>
      <c r="D73" s="50">
        <v>8260</v>
      </c>
      <c r="E73" s="50"/>
      <c r="F73" s="50">
        <v>-15770</v>
      </c>
      <c r="G73" s="50"/>
      <c r="H73" s="50"/>
      <c r="I73" s="50"/>
      <c r="J73" s="50"/>
      <c r="K73" s="54"/>
      <c r="L73" s="54"/>
      <c r="M73" s="54"/>
      <c r="N73" s="54"/>
      <c r="O73" s="54"/>
      <c r="P73" s="54"/>
      <c r="Q73" s="54"/>
      <c r="R73" s="54"/>
    </row>
    <row r="74" spans="1:18" ht="12.75">
      <c r="A74" s="83"/>
      <c r="B74" s="50"/>
      <c r="C74" s="50"/>
      <c r="D74" s="50"/>
      <c r="E74" s="50"/>
      <c r="F74" s="50"/>
      <c r="G74" s="50"/>
      <c r="H74" s="50"/>
      <c r="I74" s="50"/>
      <c r="J74" s="50"/>
      <c r="K74" s="54"/>
      <c r="L74" s="54"/>
      <c r="M74" s="54"/>
      <c r="N74" s="54"/>
      <c r="O74" s="54"/>
      <c r="P74" s="54"/>
      <c r="Q74" s="54"/>
      <c r="R74" s="54"/>
    </row>
    <row r="75" spans="1:18" ht="12.75">
      <c r="A75" s="83"/>
      <c r="B75" s="50"/>
      <c r="C75" s="50"/>
      <c r="D75" s="50"/>
      <c r="E75" s="50"/>
      <c r="F75" s="50"/>
      <c r="G75" s="50"/>
      <c r="H75" s="50"/>
      <c r="I75" s="50"/>
      <c r="J75" s="50"/>
      <c r="K75" s="54"/>
      <c r="L75" s="54"/>
      <c r="M75" s="54"/>
      <c r="N75" s="54"/>
      <c r="O75" s="54"/>
      <c r="P75" s="54"/>
      <c r="Q75" s="54"/>
      <c r="R75" s="54"/>
    </row>
    <row r="76" spans="1:18" ht="12.7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4"/>
      <c r="L76" s="54"/>
      <c r="M76" s="54"/>
      <c r="N76" s="54"/>
      <c r="O76" s="54"/>
      <c r="P76" s="54"/>
      <c r="Q76" s="54"/>
      <c r="R76" s="54"/>
    </row>
    <row r="77" spans="1:18" ht="12.7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101" t="s">
        <v>120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4"/>
      <c r="L86" s="54"/>
      <c r="M86" s="54"/>
      <c r="N86" s="54"/>
      <c r="O86" s="54"/>
      <c r="P86" s="54"/>
      <c r="Q86" s="54"/>
      <c r="R86" s="54"/>
    </row>
    <row r="87" spans="1:18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</sheetData>
  <mergeCells count="6">
    <mergeCell ref="A2:J2"/>
    <mergeCell ref="A3:J3"/>
    <mergeCell ref="A4:J4"/>
    <mergeCell ref="A78:J78"/>
    <mergeCell ref="H19:J19"/>
    <mergeCell ref="D19:F19"/>
  </mergeCells>
  <printOptions/>
  <pageMargins left="0.2" right="0" top="0.2" bottom="0" header="0.52" footer="0.5"/>
  <pageSetup horizontalDpi="600" verticalDpi="600" orientation="portrait" paperSize="9" scale="6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2004-05-27T12:21:03Z</cp:lastPrinted>
  <dcterms:created xsi:type="dcterms:W3CDTF">2000-02-14T08:00:04Z</dcterms:created>
  <dcterms:modified xsi:type="dcterms:W3CDTF">2004-05-27T12:34:31Z</dcterms:modified>
  <cp:category/>
  <cp:version/>
  <cp:contentType/>
  <cp:contentStatus/>
</cp:coreProperties>
</file>