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2120" windowHeight="4170" firstSheet="6" activeTab="10"/>
  </bookViews>
  <sheets>
    <sheet name="CF" sheetId="1" state="hidden" r:id="rId1"/>
    <sheet name="Associate provn" sheetId="2" state="hidden" r:id="rId2"/>
    <sheet name="CJE" sheetId="3" state="hidden" r:id="rId3"/>
    <sheet name="Sheet1" sheetId="4" state="hidden" r:id="rId4"/>
    <sheet name="CL" sheetId="5" state="hidden" r:id="rId5"/>
    <sheet name="dormant" sheetId="6" state="hidden" r:id="rId6"/>
    <sheet name="kfi" sheetId="7" r:id="rId7"/>
    <sheet name="CIS" sheetId="8" r:id="rId8"/>
    <sheet name="CBS" sheetId="9" r:id="rId9"/>
    <sheet name="CCF" sheetId="10" r:id="rId10"/>
    <sheet name="CCIE" sheetId="11" r:id="rId11"/>
    <sheet name="FFCSB" sheetId="12" state="hidden" r:id="rId12"/>
    <sheet name="Fed Pwr" sheetId="13" state="hidden" r:id="rId13"/>
    <sheet name="asso" sheetId="14" state="hidden" r:id="rId14"/>
    <sheet name="UR Profit" sheetId="15" state="hidden" r:id="rId15"/>
    <sheet name="Disposal" sheetId="16" state="hidden" r:id="rId16"/>
    <sheet name="asso 2" sheetId="17" state="hidden" r:id="rId17"/>
    <sheet name="Contract" sheetId="18" state="hidden" r:id="rId18"/>
    <sheet name="Sheet2" sheetId="19" state="hidden" r:id="rId19"/>
    <sheet name="Sheet4" sheetId="20" state="hidden" r:id="rId20"/>
  </sheets>
  <definedNames>
    <definedName name="_xlnm.Print_Area" localSheetId="8">'CBS'!$A$1:$E$53</definedName>
    <definedName name="_xlnm.Print_Area" localSheetId="9">'CCF'!$A$1:$F$61</definedName>
    <definedName name="_xlnm.Print_Area" localSheetId="10">'CCIE'!$A$4:$H$68</definedName>
    <definedName name="_xlnm.Print_Area" localSheetId="7">'CIS'!$A$1:$J$56</definedName>
    <definedName name="_xlnm.Print_Area" localSheetId="2">'CJE'!$A$33:$E$44</definedName>
    <definedName name="_xlnm.Print_Area" localSheetId="6">'kfi'!$A$1:$G$45</definedName>
  </definedNames>
  <calcPr fullCalcOnLoad="1"/>
</workbook>
</file>

<file path=xl/comments10.xml><?xml version="1.0" encoding="utf-8"?>
<comments xmlns="http://schemas.openxmlformats.org/spreadsheetml/2006/main">
  <authors>
    <author>alteoh</author>
  </authors>
  <commentList>
    <comment ref="J27" authorId="0">
      <text>
        <r>
          <rPr>
            <b/>
            <sz val="8"/>
            <rFont val="Tahoma"/>
            <family val="0"/>
          </rPr>
          <t>alteoh:</t>
        </r>
        <r>
          <rPr>
            <sz val="8"/>
            <rFont val="Tahoma"/>
            <family val="0"/>
          </rPr>
          <t xml:space="preserve">
Per Q2                                            RM6,559
Add DISB Proceed                          RM   550
Lee DISB casg &amp; FD                       ( RM   750)
Add Proceed dispose MV to Jasa   RM     14
   </t>
        </r>
      </text>
    </comment>
    <comment ref="J49" authorId="0">
      <text>
        <r>
          <rPr>
            <b/>
            <sz val="8"/>
            <rFont val="Tahoma"/>
            <family val="0"/>
          </rPr>
          <t>alteoh:</t>
        </r>
        <r>
          <rPr>
            <sz val="8"/>
            <rFont val="Tahoma"/>
            <family val="0"/>
          </rPr>
          <t xml:space="preserve">
per audited a/c 30/6/06 RM11,427.00 diff fm Q1 &amp; Q2 RM11,307.00</t>
        </r>
      </text>
    </comment>
    <comment ref="K27" authorId="0">
      <text>
        <r>
          <rPr>
            <b/>
            <sz val="8"/>
            <rFont val="Tahoma"/>
            <family val="0"/>
          </rPr>
          <t>alteoh:</t>
        </r>
        <r>
          <rPr>
            <sz val="8"/>
            <rFont val="Tahoma"/>
            <family val="0"/>
          </rPr>
          <t xml:space="preserve">
Per Q2                                            RM6,559
Add DISB Proceed                          RM   550
Lee DISB casg &amp; FD                       ( RM   750)
Add Proceed dispose MV to Jasa   RM     14
   </t>
        </r>
      </text>
    </comment>
    <comment ref="K49" authorId="0">
      <text>
        <r>
          <rPr>
            <b/>
            <sz val="8"/>
            <rFont val="Tahoma"/>
            <family val="0"/>
          </rPr>
          <t>alteoh:</t>
        </r>
        <r>
          <rPr>
            <sz val="8"/>
            <rFont val="Tahoma"/>
            <family val="0"/>
          </rPr>
          <t xml:space="preserve">
per audited a/c 30/6/06 RM11,427.00 diff fm Q1 &amp; Q2 RM11,307.00</t>
        </r>
      </text>
    </comment>
  </commentList>
</comments>
</file>

<file path=xl/comments12.xml><?xml version="1.0" encoding="utf-8"?>
<comments xmlns="http://schemas.openxmlformats.org/spreadsheetml/2006/main">
  <authors>
    <author>LO CHOK WOEN</author>
    <author>alteoh</author>
  </authors>
  <commentList>
    <comment ref="C72" authorId="0">
      <text>
        <r>
          <rPr>
            <b/>
            <sz val="8"/>
            <rFont val="Tahoma"/>
            <family val="0"/>
          </rPr>
          <t>LO CHOK WOEN:</t>
        </r>
        <r>
          <rPr>
            <sz val="8"/>
            <rFont val="Tahoma"/>
            <family val="0"/>
          </rPr>
          <t xml:space="preserve">
Fujikura
</t>
        </r>
      </text>
    </comment>
    <comment ref="H25" authorId="1">
      <text>
        <r>
          <rPr>
            <b/>
            <sz val="8"/>
            <rFont val="Tahoma"/>
            <family val="0"/>
          </rPr>
          <t>alteoh:</t>
        </r>
        <r>
          <rPr>
            <sz val="8"/>
            <rFont val="Tahoma"/>
            <family val="0"/>
          </rPr>
          <t xml:space="preserve">
Per FFCSB Mgt  = RM1,277,730.45
Per Audited a/c = RM4,127,462.26</t>
        </r>
      </text>
    </comment>
  </commentList>
</comments>
</file>

<file path=xl/comments7.xml><?xml version="1.0" encoding="utf-8"?>
<comments xmlns="http://schemas.openxmlformats.org/spreadsheetml/2006/main">
  <authors>
    <author>LO CHOK WOEN</author>
  </authors>
  <commentList>
    <comment ref="B39" authorId="0">
      <text>
        <r>
          <rPr>
            <b/>
            <sz val="8"/>
            <rFont val="Tahoma"/>
            <family val="0"/>
          </rPr>
          <t>LO CHOK WOEN:</t>
        </r>
        <r>
          <rPr>
            <sz val="8"/>
            <rFont val="Tahoma"/>
            <family val="0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<sst xmlns="http://schemas.openxmlformats.org/spreadsheetml/2006/main" count="701" uniqueCount="476">
  <si>
    <t>- FA impairment loss</t>
  </si>
  <si>
    <t>- Inventories write down</t>
  </si>
  <si>
    <t>- Unrealized profit on inter-co sales of CDMA</t>
  </si>
  <si>
    <t>- Provision for Widenet Distributor profit</t>
  </si>
  <si>
    <t>Year end adjustments</t>
  </si>
  <si>
    <t>Information for 4th Quarter 2003</t>
  </si>
  <si>
    <t>Interest</t>
  </si>
  <si>
    <t>Period ended</t>
  </si>
  <si>
    <t>- FY 30 June 2003</t>
  </si>
  <si>
    <t>Add: Attributable Profits</t>
  </si>
  <si>
    <t>Less: Progress billings</t>
  </si>
  <si>
    <t>Amount due from/(to) Contract customers</t>
  </si>
  <si>
    <t>Advance received</t>
  </si>
  <si>
    <t>Retention</t>
  </si>
  <si>
    <t>FY 2007/08</t>
  </si>
  <si>
    <t xml:space="preserve">  with the Annual Financial Report for the year ended 30 June 2007)</t>
  </si>
  <si>
    <t>(The Condensed Consolidated Balance Sheet should be read in conjunction</t>
  </si>
  <si>
    <t>Other Investments</t>
  </si>
  <si>
    <t>Analysis of Other Receivables As At 30 September 2003</t>
  </si>
  <si>
    <t>Insurance claimables</t>
  </si>
  <si>
    <t>Advance billings</t>
  </si>
  <si>
    <t>Accrued project cost</t>
  </si>
  <si>
    <t>Anaysis of Other Payables As At 30 September 2003</t>
  </si>
  <si>
    <t>Proceeds from rights issue</t>
  </si>
  <si>
    <t xml:space="preserve">Net Asset per Share attributable to ordinary equity holders </t>
  </si>
  <si>
    <t>of the parent - RM</t>
  </si>
  <si>
    <t>Minority</t>
  </si>
  <si>
    <t>Equity</t>
  </si>
  <si>
    <t>NET CHANGES IN CASH AND CASH EQUIVALENTS</t>
  </si>
  <si>
    <t>FY 2002</t>
  </si>
  <si>
    <t>Jul-05</t>
  </si>
  <si>
    <t>Aug-05</t>
  </si>
  <si>
    <t>Sept-05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</si>
  <si>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</si>
  <si>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</si>
  <si>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</si>
  <si>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</si>
  <si>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</si>
  <si>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</si>
  <si>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</si>
  <si>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</si>
  <si>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</si>
  <si>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FCWI</t>
  </si>
  <si>
    <t>FTSS</t>
  </si>
  <si>
    <t>NPATD</t>
  </si>
  <si>
    <t>Others</t>
  </si>
  <si>
    <t>Disposal of subsidiary</t>
  </si>
  <si>
    <t>During the year, the Company disposed of a subsidiary to its Holding Company.</t>
  </si>
  <si>
    <t>The value of assets and liabilities disposed of were as follows:</t>
  </si>
  <si>
    <t>RM</t>
  </si>
  <si>
    <t>Current assets</t>
  </si>
  <si>
    <t>Current liabilities</t>
  </si>
  <si>
    <t>Net assets disposed of</t>
  </si>
  <si>
    <t>CASH FLOWS FROM FINANCNG ACTIVITY</t>
  </si>
  <si>
    <t>Repayment of short term borrowings representing net cash used in financing activities</t>
  </si>
  <si>
    <t>Net increase in cash and bank balances</t>
  </si>
  <si>
    <t>Cash and bank balances at 1 July, 2001/2000</t>
  </si>
  <si>
    <t>Cash and bank balances at 30 June</t>
  </si>
  <si>
    <t>Increase in receivables</t>
  </si>
  <si>
    <t>(Decrease)/increase in payables</t>
  </si>
  <si>
    <t>Increase in related company balances</t>
  </si>
  <si>
    <t>Attributable to Shareholders of the Company</t>
  </si>
  <si>
    <t>Plusnet</t>
  </si>
  <si>
    <t>Exercise of warrants 2003/2013</t>
  </si>
  <si>
    <t>Proceeds from disposal of unquoted shares</t>
  </si>
  <si>
    <t>2007</t>
  </si>
  <si>
    <t>Net profit for the period, representing total recognised income and expenses for the period</t>
  </si>
  <si>
    <t xml:space="preserve">Deposits with licensed banks </t>
  </si>
  <si>
    <t>Minority Interest</t>
  </si>
  <si>
    <t>Property, Plant and Equipment</t>
  </si>
  <si>
    <t>Investments In Associates</t>
  </si>
  <si>
    <t>Deferred Expenditure</t>
  </si>
  <si>
    <t>Current Assets</t>
  </si>
  <si>
    <t>Receivables</t>
  </si>
  <si>
    <t>Current Liabilities</t>
  </si>
  <si>
    <t>Payables</t>
  </si>
  <si>
    <t>Short-term borrowings and bank overdraft</t>
  </si>
  <si>
    <t>Share Capital</t>
  </si>
  <si>
    <t>Reserves</t>
  </si>
  <si>
    <t>Accrued interest to Fujikura</t>
  </si>
  <si>
    <t>PlusNet</t>
  </si>
  <si>
    <t>Sales incentive</t>
  </si>
  <si>
    <t>Accrued commission</t>
  </si>
  <si>
    <t>Other cos</t>
  </si>
  <si>
    <t>Gross interest expense</t>
  </si>
  <si>
    <t>ADDITIONAL INFORMATION</t>
  </si>
  <si>
    <t>Profit/(Loss) from operations</t>
  </si>
  <si>
    <t>CUMULATIVE QUARTER</t>
  </si>
  <si>
    <t>Cumulative</t>
  </si>
  <si>
    <t>Provision For Diminution In Value of Investment</t>
  </si>
  <si>
    <t>Net Tangible Assets As At 31-12-02 (audited)</t>
  </si>
  <si>
    <t>Less: Losses From Jan 03 - Jun 03</t>
  </si>
  <si>
    <t>- Jan 03</t>
  </si>
  <si>
    <t>- Feb 03</t>
  </si>
  <si>
    <t>- Mar 03</t>
  </si>
  <si>
    <t>- Apr 03</t>
  </si>
  <si>
    <t>Shareholders' Equity</t>
  </si>
  <si>
    <t>Year</t>
  </si>
  <si>
    <t>As At</t>
  </si>
  <si>
    <t>Gain on disposal</t>
  </si>
  <si>
    <t>Less: Cash and cash equivalents of the subsidiary</t>
  </si>
  <si>
    <t>Cash flow on disposal net of cash disposed of</t>
  </si>
  <si>
    <t>Wai Leo</t>
  </si>
  <si>
    <t>Please incorporate the following note into the cash flow statement of Federal Telecommunications Sdn Bhd.</t>
  </si>
  <si>
    <t>FY 2003</t>
  </si>
  <si>
    <t>RM' 000</t>
  </si>
  <si>
    <t>Adjustments for:</t>
  </si>
  <si>
    <t>Non-cash items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</si>
  <si>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</si>
  <si>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</si>
  <si>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</si>
  <si>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</si>
  <si>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</si>
  <si>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</si>
  <si>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Purchase of property, plant and equipment</t>
  </si>
  <si>
    <t>CASH FLOW FROM FINANCING ACTIVITIES</t>
  </si>
  <si>
    <t>CONDENSED CONSOLIDATED CASH FLOW STATEMENT</t>
  </si>
  <si>
    <t>CASH AND CASH EQUIVALENTS AT END OF PERIOD</t>
  </si>
  <si>
    <t>CASH AND CASH EQUIVALENTS AT BEGINNING OF PERIOD</t>
  </si>
  <si>
    <t>CONDENSED CONSOLIDATED INCOME STATEMENTS</t>
  </si>
  <si>
    <t>Quarter</t>
  </si>
  <si>
    <t>Ended</t>
  </si>
  <si>
    <t>To Date</t>
  </si>
  <si>
    <t>Comparative</t>
  </si>
  <si>
    <t>Revenue</t>
  </si>
  <si>
    <t>investment in associate</t>
  </si>
  <si>
    <t>investment in subsidiary</t>
  </si>
  <si>
    <t>Net cash outflow from disposal of subsidiary</t>
  </si>
  <si>
    <t>property, plant and equipment</t>
  </si>
  <si>
    <t>Proceeds from disposal of :</t>
  </si>
  <si>
    <t>Dividend paid to minorities</t>
  </si>
  <si>
    <t>Contract revenue recognized as revenue during the year</t>
  </si>
  <si>
    <t>Contract costs recognized as expense during the year</t>
  </si>
  <si>
    <t>Client's Adjustments</t>
  </si>
  <si>
    <t>1. Dr : Income Tax Expense</t>
  </si>
  <si>
    <t xml:space="preserve">          Cr : Provision for Taxatioin</t>
  </si>
  <si>
    <t>(Being provision for YA 2003 Income Tax )</t>
  </si>
  <si>
    <t>2. Dr : Contract WIP</t>
  </si>
  <si>
    <t xml:space="preserve">          Cr : Amount due to Contract Customer</t>
  </si>
  <si>
    <t xml:space="preserve">          Other Receivables</t>
  </si>
  <si>
    <t>(Being reclassification of accounts)</t>
  </si>
  <si>
    <t>Rights issue expenses</t>
  </si>
  <si>
    <t>Unrealized Profits on CDMA Fixed Wireless Terminal</t>
  </si>
  <si>
    <t>- DTP 800</t>
  </si>
  <si>
    <t>- DTT 800</t>
  </si>
  <si>
    <t>- Patch Antena</t>
  </si>
  <si>
    <t>- Lighting Arrestor</t>
  </si>
  <si>
    <t>- Data Cable</t>
  </si>
  <si>
    <t>No of units unsold</t>
  </si>
  <si>
    <t>Margin per unit</t>
  </si>
  <si>
    <t>Unrealized profit</t>
  </si>
  <si>
    <t>Cost of Sales</t>
  </si>
  <si>
    <t>- Inventories write off</t>
  </si>
  <si>
    <t>Client's Adjustment - FYE 30 June 2003</t>
  </si>
  <si>
    <t>Carrying Cost of investment in FCW I</t>
  </si>
  <si>
    <t>Cometron Sdn Bhd</t>
  </si>
  <si>
    <t xml:space="preserve">   Trade Payable - Accrued commission</t>
  </si>
  <si>
    <t>(Being accrual for commission payable to Widenet Distributor Sdn Bhd : RM494,153.71@60%)</t>
  </si>
  <si>
    <t xml:space="preserve">Inventories </t>
  </si>
  <si>
    <t>Bad Debts Written  off</t>
  </si>
  <si>
    <t xml:space="preserve">  Trade receivables</t>
  </si>
  <si>
    <t>(Being bad debts written off due to termination)</t>
  </si>
  <si>
    <t>Other receivables - Dividend receivables</t>
  </si>
  <si>
    <t xml:space="preserve">                          - Tax credit</t>
  </si>
  <si>
    <t xml:space="preserve">   Dividend Income</t>
  </si>
  <si>
    <t>(Being dividend income receivable from Digiphonic Sistem Sdn Bhd)</t>
  </si>
  <si>
    <t>(The Condensed Consolidated Statement Of Changes In Equity should be read in conjunction</t>
  </si>
  <si>
    <t>30 Sept</t>
  </si>
  <si>
    <t>3 months</t>
  </si>
  <si>
    <t>Gain on Disposal of Property, Plant &amp; Equipment</t>
  </si>
  <si>
    <t>(Unaudited)</t>
  </si>
  <si>
    <t>(Audited)</t>
  </si>
  <si>
    <t>CONDENSED CONSOLIDATED STATEMENT OF CHANGES IN EQUITY</t>
  </si>
  <si>
    <t xml:space="preserve">Share </t>
  </si>
  <si>
    <t>Capital</t>
  </si>
  <si>
    <t>Share</t>
  </si>
  <si>
    <t>Premium</t>
  </si>
  <si>
    <t>Reserve</t>
  </si>
  <si>
    <t xml:space="preserve">Accumulated </t>
  </si>
  <si>
    <t>FT</t>
  </si>
  <si>
    <t>DG SIS</t>
  </si>
  <si>
    <t>DG SERV</t>
  </si>
  <si>
    <t>COS</t>
  </si>
  <si>
    <t>FCW Holdings Bhd</t>
  </si>
  <si>
    <t>Contingent Liabilities</t>
  </si>
  <si>
    <t>RHB</t>
  </si>
  <si>
    <t>HLB</t>
  </si>
  <si>
    <t>Cash and bank balances</t>
  </si>
  <si>
    <t>Taxation</t>
  </si>
  <si>
    <t>Dr</t>
  </si>
  <si>
    <t>Cr</t>
  </si>
  <si>
    <t>Cost of sales</t>
  </si>
  <si>
    <t>Depreciation</t>
  </si>
  <si>
    <t xml:space="preserve"> </t>
  </si>
  <si>
    <t>Deferred Tax</t>
  </si>
  <si>
    <t>FTRS</t>
  </si>
  <si>
    <t>At 1st July 2007</t>
  </si>
  <si>
    <t>At 1st July 2006</t>
  </si>
  <si>
    <t>Share Of Results In Associate</t>
  </si>
  <si>
    <t>Cash generated from / (used in) operations</t>
  </si>
  <si>
    <t>Net cash flow generated from / (used in) operating activities</t>
  </si>
  <si>
    <t>30 Sept 2006</t>
  </si>
  <si>
    <t>31st December</t>
  </si>
  <si>
    <t>6 months</t>
  </si>
  <si>
    <t>31st Dec 2006</t>
  </si>
  <si>
    <t>Proceeds from short-term borrowings</t>
  </si>
  <si>
    <t>Cost of Investment</t>
  </si>
  <si>
    <t>Share of post-acquisition profit</t>
  </si>
  <si>
    <t>- Up to June 2001</t>
  </si>
  <si>
    <t>- Jul 2001 - Dec 2001</t>
  </si>
  <si>
    <t>Share of revaluation reserve</t>
  </si>
  <si>
    <t>Share of net assets</t>
  </si>
  <si>
    <t>Goodwill / (Acquisition reserve)</t>
  </si>
  <si>
    <t>Profit over recognized</t>
  </si>
  <si>
    <t>FCW Holdings Berhad</t>
  </si>
  <si>
    <t>Investment in Associates as at 30 JUNE 2004</t>
  </si>
  <si>
    <t>30 Jun 2007</t>
  </si>
  <si>
    <t>12 months</t>
  </si>
  <si>
    <t>PJ</t>
  </si>
  <si>
    <t>Total</t>
  </si>
  <si>
    <t>FCW Industries Sdn Bhd</t>
  </si>
  <si>
    <t>Federal Telecommunications Sdn Bhd</t>
  </si>
  <si>
    <t>FT Radiosystems Sdn Bhd</t>
  </si>
  <si>
    <t>Rights issue</t>
  </si>
  <si>
    <t>Capitalization for rights issue</t>
  </si>
  <si>
    <t>If we account the share of results in associates from Jul-05 to Jun-06 :-</t>
  </si>
  <si>
    <t>As at 30 June 2006</t>
  </si>
  <si>
    <t>YTD Other income analysis for the Quarter ended 30 June 2006</t>
  </si>
  <si>
    <t>Capital Reduction</t>
  </si>
  <si>
    <t>FCW Group</t>
  </si>
  <si>
    <t xml:space="preserve">FT </t>
  </si>
  <si>
    <t>CASH FLOW FROM OPERATING ACTIVITIES</t>
  </si>
  <si>
    <t>Interest expense</t>
  </si>
  <si>
    <t>Operating loss before working capital changes</t>
  </si>
  <si>
    <t>Cash generated from operations</t>
  </si>
  <si>
    <t>Net  assets per share attributable to ordinary equity holders of the parent (RM)</t>
  </si>
  <si>
    <t>12 Months</t>
  </si>
  <si>
    <t>- Provision for doubtful debts</t>
  </si>
  <si>
    <t>- FA w/o</t>
  </si>
  <si>
    <t>CASH AND CASH EQUIVALENTS COMPRISE</t>
  </si>
  <si>
    <t>Bank Overdraft</t>
  </si>
  <si>
    <t>Interest received</t>
  </si>
  <si>
    <t>Interest paid</t>
  </si>
  <si>
    <t>Net cash generated from operating activities</t>
  </si>
  <si>
    <t xml:space="preserve">EPS (sen)  </t>
  </si>
  <si>
    <t>- Basic</t>
  </si>
  <si>
    <t xml:space="preserve">                   </t>
  </si>
  <si>
    <t>- Diluted</t>
  </si>
  <si>
    <t>Net cash flow generated from financing activities</t>
  </si>
  <si>
    <t>Movements during the period:</t>
  </si>
  <si>
    <t>Capital cancellation and share consolidation</t>
  </si>
  <si>
    <t>Utilisation of share premium to reduce</t>
  </si>
  <si>
    <t xml:space="preserve">  accumulated losses</t>
  </si>
  <si>
    <t xml:space="preserve">  the rights issue</t>
  </si>
  <si>
    <t>Profit / (Losses)</t>
  </si>
  <si>
    <t>Sundry payables</t>
  </si>
  <si>
    <t xml:space="preserve">Deposits </t>
  </si>
  <si>
    <t>Prepayment</t>
  </si>
  <si>
    <t>AGM</t>
  </si>
  <si>
    <t>Fixed deposit</t>
  </si>
  <si>
    <t>Repo</t>
  </si>
  <si>
    <t>Cash &amp; Bank</t>
  </si>
  <si>
    <t>RC</t>
  </si>
  <si>
    <t>- OCBC</t>
  </si>
  <si>
    <t>- Aseam Bankers</t>
  </si>
  <si>
    <t>- Affin Merchant</t>
  </si>
  <si>
    <t>- RHB</t>
  </si>
  <si>
    <t>Overdraft</t>
  </si>
  <si>
    <t>BA</t>
  </si>
  <si>
    <t>Share of Associate loss</t>
  </si>
  <si>
    <t>4th Qtr</t>
  </si>
  <si>
    <t>YTD</t>
  </si>
  <si>
    <t>- FFC</t>
  </si>
  <si>
    <t>- FP</t>
  </si>
  <si>
    <t>Cash Flow Statement For The Year Ended 30 June 2002</t>
  </si>
  <si>
    <t>CASH FLOWS FROM OPERATING ACTIVITIES</t>
  </si>
  <si>
    <t>Loss before taxation</t>
  </si>
  <si>
    <t>Adjustments for items not involving movement of cash :</t>
  </si>
  <si>
    <t>CASH FLOWS FROM INVESTING ACTIVITY</t>
  </si>
  <si>
    <t>Purchase of fixed asset representing net cash used in investing activities</t>
  </si>
  <si>
    <t>(The Condensed Consolidated Income Statement should be read in conjunction</t>
  </si>
  <si>
    <t>(Company No. : 3116 K)</t>
  </si>
  <si>
    <t>(Company No. : 3116 K )</t>
  </si>
  <si>
    <t>INDIVIDUAL QUARTER</t>
  </si>
  <si>
    <t>Current Year Quarter</t>
  </si>
  <si>
    <t>Preceding Year Corresponding Quarter</t>
  </si>
  <si>
    <t>Current Year To Date</t>
  </si>
  <si>
    <t>Preceding Year Corresponding Period</t>
  </si>
  <si>
    <t>Profit/(Loss) after tax and minority interest</t>
  </si>
  <si>
    <t>As At End Of Current Quarter</t>
  </si>
  <si>
    <t>As At Preceding Financial Year End</t>
  </si>
  <si>
    <t>Proposal To Strike Off Dormant Subsidiaries</t>
  </si>
  <si>
    <t>No</t>
  </si>
  <si>
    <t>Subsidiary</t>
  </si>
  <si>
    <t>Issued</t>
  </si>
  <si>
    <t>Paid-up</t>
  </si>
  <si>
    <t>Unabsorbed Loss</t>
  </si>
  <si>
    <t>@30/6/2001</t>
  </si>
  <si>
    <t>Teco Electrical Motor Machinery Mfg. Sdn Bhd</t>
  </si>
  <si>
    <t>Malco Metal Sdn Bhd</t>
  </si>
  <si>
    <t>Indah Nominees Sdn Bhd</t>
  </si>
  <si>
    <t>Sun Moon Star Sdn Bhd</t>
  </si>
  <si>
    <t>FT Cellular Systems Sdn Bhd</t>
  </si>
  <si>
    <t>Widenet</t>
  </si>
  <si>
    <t>Ghamal</t>
  </si>
  <si>
    <t>Cost of investment</t>
  </si>
  <si>
    <t>Group's share of profit/(loss)</t>
  </si>
  <si>
    <t>- Up to 30 June 2001</t>
  </si>
  <si>
    <t>- Current year</t>
  </si>
  <si>
    <t>Group's share of capital/revaluation reserves</t>
  </si>
  <si>
    <t>- FY 30 June 2002</t>
  </si>
  <si>
    <t>Goodwill w/o</t>
  </si>
  <si>
    <t>ended</t>
  </si>
  <si>
    <t>Tax recoverable</t>
  </si>
  <si>
    <t>DG Ser</t>
  </si>
  <si>
    <t>Bad debts recovered</t>
  </si>
  <si>
    <t>Provision for audit/tax fees</t>
  </si>
  <si>
    <t>Provision for directors fees</t>
  </si>
  <si>
    <t>Provision for bonus</t>
  </si>
  <si>
    <t>EPF/Socso/Income tax</t>
  </si>
  <si>
    <t>Accrued salary</t>
  </si>
  <si>
    <t>- May 03</t>
  </si>
  <si>
    <t>- Jun 03</t>
  </si>
  <si>
    <t>Net Tangible Assets As At 30-6-02</t>
  </si>
  <si>
    <t>FCWI's Share of NTA</t>
  </si>
  <si>
    <t>Shortfall, to provide for diminution in value</t>
  </si>
  <si>
    <t>Not required</t>
  </si>
  <si>
    <t>Jan</t>
  </si>
  <si>
    <t>2002</t>
  </si>
  <si>
    <t>Feb</t>
  </si>
  <si>
    <t>DSVSB</t>
  </si>
  <si>
    <t>Gain on disposal of P.P.E</t>
  </si>
  <si>
    <t>Mar</t>
  </si>
  <si>
    <t>Apr</t>
  </si>
  <si>
    <t>May</t>
  </si>
  <si>
    <t>- Dilution after right issue</t>
  </si>
  <si>
    <t>Share of share premium after RI</t>
  </si>
  <si>
    <t>After Right Issue</t>
  </si>
  <si>
    <t>B4 Right Issue</t>
  </si>
  <si>
    <t>Right Issue of Federal Power:</t>
  </si>
  <si>
    <t>Shareholders' equity</t>
  </si>
  <si>
    <t>FCW HOLDINGS GROUP OF COMPANIES</t>
  </si>
  <si>
    <t>SHARE OF ASSOCIATE RESULTS</t>
  </si>
  <si>
    <t>Fujikura</t>
  </si>
  <si>
    <t>Federal Power's book</t>
  </si>
  <si>
    <t>Fujikura's book</t>
  </si>
  <si>
    <t>Q1</t>
  </si>
  <si>
    <t>Q2</t>
  </si>
  <si>
    <t>Q4</t>
  </si>
  <si>
    <t>Q3</t>
  </si>
  <si>
    <t>Grand Total</t>
  </si>
  <si>
    <t>% of shareholdings</t>
  </si>
  <si>
    <t>FD</t>
  </si>
  <si>
    <t>Cash in hand</t>
  </si>
  <si>
    <t xml:space="preserve"> No</t>
  </si>
  <si>
    <t>Description</t>
  </si>
  <si>
    <t>Operating cost</t>
  </si>
  <si>
    <t>(Being provision for diminution in value of investment in subsidiary)</t>
  </si>
  <si>
    <t>Basis :</t>
  </si>
  <si>
    <t>Compared with NTA of FCW I Group</t>
  </si>
  <si>
    <t>Shortfall to be provided</t>
  </si>
  <si>
    <t xml:space="preserve">  Investment in subsidiary </t>
  </si>
  <si>
    <t xml:space="preserve">Quarter </t>
  </si>
  <si>
    <t xml:space="preserve">As At </t>
  </si>
  <si>
    <t>31 March 2007</t>
  </si>
  <si>
    <t>9 months</t>
  </si>
  <si>
    <t>FY 2006/07</t>
  </si>
  <si>
    <t>Jul-06</t>
  </si>
  <si>
    <t>Aug-06</t>
  </si>
  <si>
    <t>Sept-06</t>
  </si>
  <si>
    <t>Shhr's Funds</t>
  </si>
  <si>
    <t>FYE07 Q1</t>
  </si>
  <si>
    <t>plusnet</t>
  </si>
  <si>
    <t>Interest income</t>
  </si>
  <si>
    <t>FCW HOLDINGS BERHAD</t>
  </si>
  <si>
    <t>FCWH</t>
  </si>
  <si>
    <t>- FY 30 June 2004</t>
  </si>
  <si>
    <t>DSSB</t>
  </si>
  <si>
    <t>TOTAL</t>
  </si>
  <si>
    <t>Consol</t>
  </si>
  <si>
    <t>31st March</t>
  </si>
  <si>
    <t>Operating Expenses</t>
  </si>
  <si>
    <t>Proposed/Declared dividend per share (sen)</t>
  </si>
  <si>
    <t>Attributable to:</t>
  </si>
  <si>
    <t>Investment In Associates As At 30 June 2002</t>
  </si>
  <si>
    <t>- Amount before right issue</t>
  </si>
  <si>
    <t>Reversal of surplus revaluation by an associate</t>
  </si>
  <si>
    <t>Federal Power Sdn Bhd</t>
  </si>
  <si>
    <t>Share of Loss From Jan 2003 - Dec 2003</t>
  </si>
  <si>
    <t>-</t>
  </si>
  <si>
    <t>Per mgt accounts</t>
  </si>
  <si>
    <t>Per audited accounts</t>
  </si>
  <si>
    <t>Under-recognized</t>
  </si>
  <si>
    <t>FCWI's share @29.68%</t>
  </si>
  <si>
    <t>Dr: Share of losses in associates</t>
  </si>
  <si>
    <t xml:space="preserve">   Cr: Investment in associates</t>
  </si>
  <si>
    <t>(Being further losses of Federal Power Sdn Bhd to be recognized after audit)</t>
  </si>
  <si>
    <t>Gross interest income</t>
  </si>
  <si>
    <t>Federal Power</t>
  </si>
  <si>
    <t>30 June</t>
  </si>
  <si>
    <t>2006</t>
  </si>
  <si>
    <t>(The Condensed Consolidated Cash Flow Statement should be read in conjunction</t>
  </si>
  <si>
    <t>6 months result (1/7/06-31/12/06)</t>
  </si>
  <si>
    <t>3 months result (1/1/07-31/3/07)</t>
  </si>
  <si>
    <t>total 9 months result (1/7/06-31/3/07)</t>
  </si>
  <si>
    <t>Current</t>
  </si>
  <si>
    <t>Company</t>
  </si>
  <si>
    <t>FCW H</t>
  </si>
  <si>
    <t>FCW I</t>
  </si>
  <si>
    <t>FP</t>
  </si>
  <si>
    <t>FFC</t>
  </si>
  <si>
    <t>Rental income</t>
  </si>
  <si>
    <t>RM'000</t>
  </si>
  <si>
    <t>NTA</t>
  </si>
  <si>
    <t>P/(L)BT</t>
  </si>
  <si>
    <t xml:space="preserve">Adj for </t>
  </si>
  <si>
    <t>EI/F.Exchg etc</t>
  </si>
  <si>
    <t>P/(L)BT after adj</t>
  </si>
  <si>
    <t>NPAT&amp; Forex</t>
  </si>
  <si>
    <t>Ret P/(L) b/f</t>
  </si>
  <si>
    <t>DT</t>
  </si>
  <si>
    <t>Ret P/(L) c/f</t>
  </si>
  <si>
    <t>Monthly result</t>
  </si>
  <si>
    <t>Cometron</t>
  </si>
  <si>
    <t>FTSB</t>
  </si>
  <si>
    <t>PJSB</t>
  </si>
  <si>
    <t>Jun</t>
  </si>
  <si>
    <t>Jul</t>
  </si>
  <si>
    <t>Aug</t>
  </si>
  <si>
    <t>Sep</t>
  </si>
  <si>
    <t>Oct</t>
  </si>
  <si>
    <t>Nov</t>
  </si>
  <si>
    <t>Dec</t>
  </si>
  <si>
    <t>Compared with audited results</t>
  </si>
  <si>
    <t>Loss under-reconized</t>
  </si>
  <si>
    <t>FCWI's portion @29.68%</t>
  </si>
  <si>
    <t>Amount Due From/(To) Contract Customer</t>
  </si>
  <si>
    <t>Aggregate cost incurred todate</t>
  </si>
  <si>
    <t>FCW I's shareholding</t>
  </si>
  <si>
    <t>FCW I's share of equity</t>
  </si>
  <si>
    <t>Accretion of equity interest</t>
  </si>
  <si>
    <t>2008</t>
  </si>
  <si>
    <t>Repayment of short term borrowings</t>
  </si>
  <si>
    <t>Profit before tax</t>
  </si>
  <si>
    <t>Profit for the period</t>
  </si>
  <si>
    <t xml:space="preserve">Profit attributable to the ordinary equity holders of the parent </t>
  </si>
  <si>
    <t>Basic earnings per share (sen)</t>
  </si>
  <si>
    <t>Profit Before Tax</t>
  </si>
  <si>
    <t>Profit For The Period</t>
  </si>
  <si>
    <t>Equity Holders of the Company</t>
  </si>
  <si>
    <t>Net Profit For The Period</t>
  </si>
  <si>
    <t>Net Current Assets</t>
  </si>
  <si>
    <t>Issue of new ordinary shares pursuant to</t>
  </si>
  <si>
    <t>Proceeds from exercise of warrants 2003/2013</t>
  </si>
  <si>
    <t>Operating profit / (loss) before working capital changes</t>
  </si>
  <si>
    <t>Tax paid</t>
  </si>
  <si>
    <t>Investment Properties</t>
  </si>
  <si>
    <t>Non Current Liability</t>
  </si>
  <si>
    <t>Long Term Payable</t>
  </si>
  <si>
    <t>Purchase investment properties</t>
  </si>
  <si>
    <t>30th June 2008</t>
  </si>
  <si>
    <t>At 30th June 2008</t>
  </si>
  <si>
    <t>30th June 2007</t>
  </si>
  <si>
    <t>At 30th June 2007</t>
  </si>
  <si>
    <t>FOR THE PERIOD ENDED 30 JUNE 2008</t>
  </si>
  <si>
    <t>FOR THE QUARTER ENDED 30 JUNE 2008</t>
  </si>
  <si>
    <t>Summary of Key Financial Information for the period ended 30 JUNE 2008</t>
  </si>
  <si>
    <t>30/06/2008</t>
  </si>
  <si>
    <t>30/06/2007</t>
  </si>
  <si>
    <t xml:space="preserve">Gross Profit </t>
  </si>
  <si>
    <r>
      <t xml:space="preserve">CONDENSED BALANCE SHEET AS AT </t>
    </r>
    <r>
      <rPr>
        <b/>
        <sz val="10"/>
        <color indexed="10"/>
        <rFont val="Arial Narrow"/>
        <family val="2"/>
      </rPr>
      <t>30 JUNE 2008</t>
    </r>
  </si>
  <si>
    <t>Other Income</t>
  </si>
  <si>
    <t>Share of results in associate</t>
  </si>
  <si>
    <t>Net cash flow (used in)/generated from investing activities</t>
  </si>
  <si>
    <t>Finance costs</t>
  </si>
  <si>
    <t>Profit from operations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</si>
</sst>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_);\(&quot;RM&quot;\ #,##0\)"/>
    <numFmt numFmtId="165" formatCode="&quot;RM&quot;\ #,##0_);[Red]\(&quot;RM&quot;\ #,##0\)"/>
    <numFmt numFmtId="166" formatCode="&quot;RM&quot;\ #,##0.00_);\(&quot;RM&quot;\ #,##0.00\)"/>
    <numFmt numFmtId="167" formatCode="&quot;RM&quot;\ #,##0.00_);[Red]\(&quot;RM&quot;\ #,##0.00\)"/>
    <numFmt numFmtId="168" formatCode="_(&quot;RM&quot;\ * #,##0_);_(&quot;RM&quot;\ * \(#,##0\);_(&quot;RM&quot;\ * &quot;-&quot;_);_(@_)"/>
    <numFmt numFmtId="169" formatCode="_(&quot;RM&quot;\ * #,##0.00_);_(&quot;RM&quot;\ * \(#,##0.00\);_(&quot;RM&quot;\ * &quot;-&quot;??_);_(@_)"/>
    <numFmt numFmtId="170" formatCode="_-* #,##0.00_-;\-* #,##0.00_-;_-* &quot;-&quot;??_-;_-@_-"/>
    <numFmt numFmtId="171" formatCode="_(* #,##0_);_(* \(#,##0\);_(* &quot;-&quot;??_);_(@_)"/>
    <numFmt numFmtId="172" formatCode="_(* #,##0.000_);_(* \(#,##0.000\);_(* &quot;-&quot;??_);_(@_)"/>
    <numFmt numFmtId="173" formatCode="_-* #,##0_-;\-* #,##0_-;_-* &quot;-&quot;??_-;_-@_-"/>
    <numFmt numFmtId="174" formatCode="#,##0.0_);\(#,##0.0\)"/>
    <numFmt numFmtId="175" formatCode="#,##0.000_);\(#,##0.000\)"/>
    <numFmt numFmtId="176" formatCode="_(* #,##0.0_);_(* \(#,##0.0\);_(* &quot;-&quot;??_);_(@_)"/>
    <numFmt numFmtId="177" formatCode="[$-409]dddd\,\ mmmm\ dd\,\ yyyy"/>
    <numFmt numFmtId="178" formatCode="[$-409]mmm\-yy;@"/>
    <numFmt numFmtId="179" formatCode="0.0%"/>
    <numFmt numFmtId="180" formatCode="#,##0.0000_);\(#,##0.0000\)"/>
    <numFmt numFmtId="181" formatCode="#,##0.00000_);\(#,##0.00000\)"/>
    <numFmt numFmtId="182" formatCode="_(* #,##0.0000_);_(* \(#,##0.0000\);_(* &quot;-&quot;_);_(@_)"/>
    <numFmt numFmtId="183" formatCode="[$-409]d\-mmm\-yy;@"/>
    <numFmt numFmtId="184" formatCode="[$-409]h:mm:ss\ AM/PM"/>
    <numFmt numFmtId="185" formatCode="[$-409]h:mm\ AM/PM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"/>
    <numFmt numFmtId="193" formatCode="0.0000"/>
    <numFmt numFmtId="194" formatCode="0.000"/>
    <numFmt numFmtId="195" formatCode="#,##0.000000_);\(#,##0.000000\)"/>
    <numFmt numFmtId="196" formatCode="#,##0.0000000_);\(#,##0.0000000\)"/>
    <numFmt numFmtId="197" formatCode="#,##0.00000000_);\(#,##0.00000000\)"/>
    <numFmt numFmtId="198" formatCode="#,##0.000000000_);\(#,##0.000000000\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[$-409]d\-mmm;@"/>
    <numFmt numFmtId="202" formatCode="mmm\-yyyy"/>
    <numFmt numFmtId="203" formatCode="0.000%"/>
    <numFmt numFmtId="204" formatCode="0.0000%"/>
    <numFmt numFmtId="205" formatCode="dd/mm/yyyy"/>
    <numFmt numFmtId="206" formatCode="0_);\(0\)"/>
  </numFmts>
  <fonts count="22">
    <font>
      <sz val="10"/>
      <name val="Arial Narrow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0" fillId="0" borderId="0" xfId="15" applyNumberFormat="1" applyFont="1" applyAlignment="1">
      <alignment/>
    </xf>
    <xf numFmtId="171" fontId="0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71" fontId="0" fillId="0" borderId="0" xfId="15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171" fontId="2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71" fontId="0" fillId="0" borderId="3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" fontId="0" fillId="0" borderId="0" xfId="15" applyNumberFormat="1" applyAlignment="1">
      <alignment horizontal="center"/>
    </xf>
    <xf numFmtId="0" fontId="0" fillId="0" borderId="0" xfId="0" applyAlignment="1" quotePrefix="1">
      <alignment/>
    </xf>
    <xf numFmtId="171" fontId="0" fillId="0" borderId="3" xfId="15" applyNumberFormat="1" applyBorder="1" applyAlignment="1">
      <alignment horizontal="center"/>
    </xf>
    <xf numFmtId="0" fontId="0" fillId="0" borderId="4" xfId="0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Border="1" applyAlignment="1">
      <alignment horizontal="center"/>
    </xf>
    <xf numFmtId="171" fontId="0" fillId="0" borderId="9" xfId="15" applyNumberFormat="1" applyBorder="1" applyAlignment="1">
      <alignment horizontal="center"/>
    </xf>
    <xf numFmtId="171" fontId="0" fillId="0" borderId="7" xfId="15" applyNumberFormat="1" applyBorder="1" applyAlignment="1">
      <alignment horizontal="center"/>
    </xf>
    <xf numFmtId="171" fontId="0" fillId="0" borderId="6" xfId="15" applyNumberFormat="1" applyBorder="1" applyAlignment="1">
      <alignment horizontal="center"/>
    </xf>
    <xf numFmtId="171" fontId="0" fillId="0" borderId="0" xfId="15" applyNumberFormat="1" applyFont="1" applyAlignment="1">
      <alignment horizontal="center" wrapText="1"/>
    </xf>
    <xf numFmtId="171" fontId="0" fillId="0" borderId="0" xfId="15" applyNumberFormat="1" applyAlignment="1">
      <alignment horizontal="center" wrapText="1"/>
    </xf>
    <xf numFmtId="171" fontId="0" fillId="0" borderId="10" xfId="15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1" fontId="0" fillId="0" borderId="7" xfId="0" applyNumberFormat="1" applyBorder="1" applyAlignment="1">
      <alignment/>
    </xf>
    <xf numFmtId="43" fontId="0" fillId="0" borderId="0" xfId="0" applyNumberFormat="1" applyAlignment="1">
      <alignment/>
    </xf>
    <xf numFmtId="43" fontId="2" fillId="0" borderId="0" xfId="15" applyFont="1" applyAlignment="1">
      <alignment horizontal="center"/>
    </xf>
    <xf numFmtId="0" fontId="2" fillId="0" borderId="0" xfId="0" applyFont="1" applyAlignment="1" quotePrefix="1">
      <alignment horizontal="center"/>
    </xf>
    <xf numFmtId="171" fontId="1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11" xfId="15" applyNumberFormat="1" applyBorder="1" applyAlignment="1">
      <alignment/>
    </xf>
    <xf numFmtId="10" fontId="0" fillId="0" borderId="0" xfId="23" applyNumberFormat="1" applyAlignment="1">
      <alignment/>
    </xf>
    <xf numFmtId="171" fontId="2" fillId="0" borderId="3" xfId="15" applyNumberFormat="1" applyFont="1" applyBorder="1" applyAlignment="1">
      <alignment/>
    </xf>
    <xf numFmtId="171" fontId="0" fillId="0" borderId="10" xfId="15" applyNumberFormat="1" applyBorder="1" applyAlignment="1">
      <alignment/>
    </xf>
    <xf numFmtId="173" fontId="0" fillId="0" borderId="0" xfId="0" applyNumberFormat="1" applyAlignment="1">
      <alignment/>
    </xf>
    <xf numFmtId="173" fontId="2" fillId="0" borderId="3" xfId="0" applyNumberFormat="1" applyFont="1" applyBorder="1" applyAlignment="1">
      <alignment/>
    </xf>
    <xf numFmtId="170" fontId="0" fillId="0" borderId="0" xfId="0" applyNumberFormat="1" applyAlignment="1">
      <alignment/>
    </xf>
    <xf numFmtId="171" fontId="0" fillId="2" borderId="12" xfId="15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171" fontId="0" fillId="2" borderId="13" xfId="15" applyNumberFormat="1" applyFill="1" applyBorder="1" applyAlignment="1">
      <alignment horizontal="center"/>
    </xf>
    <xf numFmtId="171" fontId="0" fillId="2" borderId="13" xfId="15" applyNumberFormat="1" applyFill="1" applyBorder="1" applyAlignment="1">
      <alignment/>
    </xf>
    <xf numFmtId="171" fontId="0" fillId="2" borderId="14" xfId="0" applyNumberFormat="1" applyFill="1" applyBorder="1" applyAlignment="1">
      <alignment/>
    </xf>
    <xf numFmtId="171" fontId="0" fillId="2" borderId="15" xfId="15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1" fontId="0" fillId="2" borderId="0" xfId="15" applyNumberFormat="1" applyFill="1" applyBorder="1" applyAlignment="1">
      <alignment horizontal="center"/>
    </xf>
    <xf numFmtId="171" fontId="0" fillId="2" borderId="0" xfId="15" applyNumberFormat="1" applyFill="1" applyBorder="1" applyAlignment="1">
      <alignment/>
    </xf>
    <xf numFmtId="171" fontId="0" fillId="2" borderId="16" xfId="0" applyNumberFormat="1" applyFill="1" applyBorder="1" applyAlignment="1">
      <alignment/>
    </xf>
    <xf numFmtId="171" fontId="0" fillId="2" borderId="17" xfId="15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171" fontId="0" fillId="2" borderId="4" xfId="15" applyNumberFormat="1" applyFill="1" applyBorder="1" applyAlignment="1">
      <alignment/>
    </xf>
    <xf numFmtId="171" fontId="0" fillId="2" borderId="18" xfId="0" applyNumberFormat="1" applyFill="1" applyBorder="1" applyAlignment="1">
      <alignment/>
    </xf>
    <xf numFmtId="43" fontId="0" fillId="0" borderId="4" xfId="15" applyBorder="1" applyAlignment="1">
      <alignment/>
    </xf>
    <xf numFmtId="43" fontId="2" fillId="0" borderId="8" xfId="15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171" fontId="0" fillId="0" borderId="3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9" fontId="1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0" fillId="0" borderId="0" xfId="0" applyNumberFormat="1" applyFont="1" applyAlignment="1">
      <alignment horizontal="center"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 horizontal="center"/>
    </xf>
    <xf numFmtId="37" fontId="13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4" xfId="15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14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1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7" fontId="0" fillId="0" borderId="7" xfId="0" applyNumberFormat="1" applyFont="1" applyBorder="1" applyAlignment="1">
      <alignment/>
    </xf>
    <xf numFmtId="37" fontId="10" fillId="0" borderId="7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10" fillId="0" borderId="7" xfId="0" applyNumberFormat="1" applyFont="1" applyBorder="1" applyAlignment="1">
      <alignment horizontal="center" wrapText="1"/>
    </xf>
    <xf numFmtId="37" fontId="10" fillId="0" borderId="7" xfId="0" applyNumberFormat="1" applyFont="1" applyFill="1" applyBorder="1" applyAlignment="1" quotePrefix="1">
      <alignment horizontal="center"/>
    </xf>
    <xf numFmtId="37" fontId="0" fillId="0" borderId="7" xfId="15" applyNumberFormat="1" applyFont="1" applyBorder="1" applyAlignment="1">
      <alignment/>
    </xf>
    <xf numFmtId="37" fontId="10" fillId="0" borderId="7" xfId="15" applyNumberFormat="1" applyFont="1" applyBorder="1" applyAlignment="1">
      <alignment horizontal="center" wrapText="1"/>
    </xf>
    <xf numFmtId="37" fontId="10" fillId="0" borderId="0" xfId="15" applyNumberFormat="1" applyFont="1" applyAlignment="1">
      <alignment horizontal="center"/>
    </xf>
    <xf numFmtId="37" fontId="10" fillId="0" borderId="7" xfId="0" applyNumberFormat="1" applyFont="1" applyBorder="1" applyAlignment="1" quotePrefix="1">
      <alignment horizontal="center"/>
    </xf>
    <xf numFmtId="3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" fontId="0" fillId="0" borderId="0" xfId="0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0" fillId="0" borderId="4" xfId="15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3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13" fillId="0" borderId="4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15" applyNumberFormat="1" applyFont="1" applyFill="1" applyBorder="1" applyAlignment="1">
      <alignment/>
    </xf>
    <xf numFmtId="37" fontId="13" fillId="0" borderId="4" xfId="15" applyNumberFormat="1" applyFont="1" applyFill="1" applyBorder="1" applyAlignment="1">
      <alignment/>
    </xf>
    <xf numFmtId="37" fontId="0" fillId="0" borderId="4" xfId="15" applyNumberFormat="1" applyFont="1" applyFill="1" applyBorder="1" applyAlignment="1">
      <alignment/>
    </xf>
    <xf numFmtId="37" fontId="13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13" fillId="0" borderId="0" xfId="15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7" fontId="0" fillId="0" borderId="0" xfId="15" applyNumberFormat="1" applyFont="1" applyFill="1" applyAlignment="1">
      <alignment/>
    </xf>
    <xf numFmtId="37" fontId="0" fillId="0" borderId="10" xfId="0" applyNumberForma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9" fontId="0" fillId="0" borderId="7" xfId="15" applyNumberFormat="1" applyFont="1" applyFill="1" applyBorder="1" applyAlignment="1">
      <alignment/>
    </xf>
    <xf numFmtId="43" fontId="10" fillId="0" borderId="0" xfId="15" applyFont="1" applyAlignment="1">
      <alignment horizontal="right"/>
    </xf>
    <xf numFmtId="178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37" fontId="0" fillId="0" borderId="0" xfId="0" applyNumberFormat="1" applyAlignment="1" quotePrefix="1">
      <alignment/>
    </xf>
    <xf numFmtId="39" fontId="0" fillId="0" borderId="0" xfId="0" applyNumberFormat="1" applyAlignment="1">
      <alignment/>
    </xf>
    <xf numFmtId="39" fontId="0" fillId="0" borderId="4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10" fillId="0" borderId="19" xfId="0" applyNumberFormat="1" applyFont="1" applyBorder="1" applyAlignment="1">
      <alignment/>
    </xf>
    <xf numFmtId="16" fontId="0" fillId="0" borderId="0" xfId="0" applyNumberFormat="1" applyFont="1" applyAlignment="1">
      <alignment horizontal="center"/>
    </xf>
    <xf numFmtId="43" fontId="0" fillId="0" borderId="0" xfId="15" applyFont="1" applyAlignment="1">
      <alignment horizontal="center"/>
    </xf>
    <xf numFmtId="39" fontId="0" fillId="0" borderId="0" xfId="0" applyNumberFormat="1" applyFont="1" applyAlignment="1" quotePrefix="1">
      <alignment/>
    </xf>
    <xf numFmtId="171" fontId="0" fillId="0" borderId="0" xfId="15" applyNumberFormat="1" applyFont="1" applyFill="1" applyAlignment="1">
      <alignment/>
    </xf>
    <xf numFmtId="37" fontId="15" fillId="0" borderId="0" xfId="0" applyNumberFormat="1" applyFont="1" applyBorder="1" applyAlignment="1">
      <alignment/>
    </xf>
    <xf numFmtId="37" fontId="0" fillId="0" borderId="4" xfId="15" applyNumberFormat="1" applyFont="1" applyFill="1" applyBorder="1" applyAlignment="1">
      <alignment/>
    </xf>
    <xf numFmtId="37" fontId="0" fillId="0" borderId="7" xfId="15" applyNumberFormat="1" applyFont="1" applyFill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2" xfId="15" applyNumberFormat="1" applyFont="1" applyFill="1" applyBorder="1" applyAlignment="1">
      <alignment/>
    </xf>
    <xf numFmtId="37" fontId="10" fillId="0" borderId="0" xfId="15" applyNumberFormat="1" applyFont="1" applyFill="1" applyAlignment="1">
      <alignment/>
    </xf>
    <xf numFmtId="37" fontId="0" fillId="3" borderId="5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43" fontId="0" fillId="0" borderId="0" xfId="15" applyAlignment="1">
      <alignment horizontal="right"/>
    </xf>
    <xf numFmtId="17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13" fillId="0" borderId="0" xfId="0" applyNumberFormat="1" applyFont="1" applyAlignment="1">
      <alignment/>
    </xf>
    <xf numFmtId="37" fontId="0" fillId="0" borderId="7" xfId="0" applyNumberFormat="1" applyFont="1" applyBorder="1" applyAlignment="1">
      <alignment wrapText="1"/>
    </xf>
    <xf numFmtId="37" fontId="0" fillId="0" borderId="7" xfId="0" applyNumberFormat="1" applyFont="1" applyBorder="1" applyAlignment="1">
      <alignment vertical="top"/>
    </xf>
    <xf numFmtId="37" fontId="20" fillId="0" borderId="7" xfId="0" applyNumberFormat="1" applyFont="1" applyBorder="1" applyAlignment="1">
      <alignment/>
    </xf>
    <xf numFmtId="37" fontId="20" fillId="0" borderId="7" xfId="15" applyNumberFormat="1" applyFont="1" applyBorder="1" applyAlignment="1">
      <alignment/>
    </xf>
    <xf numFmtId="37" fontId="0" fillId="0" borderId="0" xfId="15" applyNumberFormat="1" applyFont="1" applyAlignment="1" quotePrefix="1">
      <alignment/>
    </xf>
    <xf numFmtId="39" fontId="10" fillId="0" borderId="0" xfId="0" applyNumberFormat="1" applyFont="1" applyFill="1" applyAlignment="1">
      <alignment/>
    </xf>
    <xf numFmtId="39" fontId="13" fillId="0" borderId="7" xfId="1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37" fontId="0" fillId="4" borderId="0" xfId="0" applyNumberFormat="1" applyFill="1" applyAlignment="1">
      <alignment/>
    </xf>
    <xf numFmtId="39" fontId="1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20" xfId="0" applyNumberFormat="1" applyFont="1" applyBorder="1" applyAlignment="1">
      <alignment/>
    </xf>
    <xf numFmtId="37" fontId="14" fillId="0" borderId="2" xfId="0" applyNumberFormat="1" applyFont="1" applyBorder="1" applyAlignment="1">
      <alignment/>
    </xf>
    <xf numFmtId="37" fontId="14" fillId="0" borderId="2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3" borderId="0" xfId="0" applyNumberFormat="1" applyFill="1" applyAlignment="1">
      <alignment/>
    </xf>
    <xf numFmtId="37" fontId="10" fillId="0" borderId="0" xfId="0" applyNumberFormat="1" applyFont="1" applyBorder="1" applyAlignment="1">
      <alignment/>
    </xf>
    <xf numFmtId="37" fontId="10" fillId="0" borderId="19" xfId="0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37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2" xfId="15" applyNumberFormat="1" applyFont="1" applyBorder="1" applyAlignment="1">
      <alignment/>
    </xf>
    <xf numFmtId="43" fontId="0" fillId="0" borderId="0" xfId="15" applyFont="1" applyFill="1" applyAlignment="1">
      <alignment horizontal="right"/>
    </xf>
    <xf numFmtId="171" fontId="0" fillId="0" borderId="0" xfId="15" applyNumberFormat="1" applyFont="1" applyBorder="1" applyAlignment="1">
      <alignment/>
    </xf>
    <xf numFmtId="37" fontId="0" fillId="0" borderId="0" xfId="15" applyNumberFormat="1" applyFont="1" applyAlignment="1" quotePrefix="1">
      <alignment horizontal="center"/>
    </xf>
    <xf numFmtId="171" fontId="0" fillId="0" borderId="4" xfId="15" applyNumberFormat="1" applyFont="1" applyFill="1" applyBorder="1" applyAlignment="1">
      <alignment/>
    </xf>
    <xf numFmtId="43" fontId="0" fillId="0" borderId="0" xfId="15" applyFont="1" applyBorder="1" applyAlignment="1">
      <alignment/>
    </xf>
    <xf numFmtId="39" fontId="0" fillId="0" borderId="0" xfId="15" applyNumberFormat="1" applyFont="1" applyFill="1" applyAlignment="1">
      <alignment/>
    </xf>
    <xf numFmtId="37" fontId="0" fillId="0" borderId="21" xfId="0" applyNumberFormat="1" applyFont="1" applyBorder="1" applyAlignment="1">
      <alignment/>
    </xf>
    <xf numFmtId="37" fontId="0" fillId="0" borderId="4" xfId="0" applyNumberFormat="1" applyFont="1" applyBorder="1" applyAlignment="1" quotePrefix="1">
      <alignment/>
    </xf>
    <xf numFmtId="37" fontId="0" fillId="0" borderId="0" xfId="0" applyNumberFormat="1" applyFont="1" applyBorder="1" applyAlignment="1">
      <alignment/>
    </xf>
    <xf numFmtId="39" fontId="0" fillId="0" borderId="0" xfId="15" applyNumberFormat="1" applyFont="1" applyFill="1" applyAlignment="1">
      <alignment/>
    </xf>
    <xf numFmtId="0" fontId="0" fillId="0" borderId="0" xfId="0" applyFont="1" applyAlignment="1">
      <alignment horizontal="center" wrapText="1"/>
    </xf>
    <xf numFmtId="1" fontId="0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9" fontId="14" fillId="0" borderId="0" xfId="23" applyFont="1" applyAlignment="1">
      <alignment/>
    </xf>
    <xf numFmtId="37" fontId="0" fillId="0" borderId="22" xfId="0" applyNumberFormat="1" applyFont="1" applyBorder="1" applyAlignment="1">
      <alignment/>
    </xf>
    <xf numFmtId="183" fontId="0" fillId="0" borderId="0" xfId="0" applyNumberFormat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37" fontId="0" fillId="0" borderId="28" xfId="0" applyNumberFormat="1" applyBorder="1" applyAlignment="1">
      <alignment/>
    </xf>
    <xf numFmtId="37" fontId="15" fillId="0" borderId="28" xfId="0" applyNumberFormat="1" applyFont="1" applyBorder="1" applyAlignment="1">
      <alignment/>
    </xf>
    <xf numFmtId="37" fontId="0" fillId="0" borderId="29" xfId="0" applyNumberFormat="1" applyBorder="1" applyAlignment="1">
      <alignment/>
    </xf>
    <xf numFmtId="37" fontId="0" fillId="3" borderId="0" xfId="0" applyNumberFormat="1" applyFill="1" applyBorder="1" applyAlignment="1">
      <alignment/>
    </xf>
    <xf numFmtId="10" fontId="0" fillId="0" borderId="30" xfId="23" applyNumberForma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3" fontId="10" fillId="0" borderId="24" xfId="15" applyFont="1" applyBorder="1" applyAlignment="1">
      <alignment horizontal="right"/>
    </xf>
    <xf numFmtId="0" fontId="0" fillId="0" borderId="28" xfId="0" applyBorder="1" applyAlignment="1">
      <alignment/>
    </xf>
    <xf numFmtId="178" fontId="0" fillId="0" borderId="24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28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/>
    </xf>
    <xf numFmtId="37" fontId="0" fillId="0" borderId="31" xfId="0" applyNumberFormat="1" applyBorder="1" applyAlignment="1">
      <alignment/>
    </xf>
    <xf numFmtId="37" fontId="0" fillId="0" borderId="32" xfId="0" applyNumberFormat="1" applyBorder="1" applyAlignment="1">
      <alignment/>
    </xf>
    <xf numFmtId="37" fontId="0" fillId="0" borderId="24" xfId="0" applyNumberFormat="1" applyBorder="1" applyAlignment="1">
      <alignment horizontal="right"/>
    </xf>
    <xf numFmtId="37" fontId="0" fillId="0" borderId="33" xfId="0" applyNumberFormat="1" applyBorder="1" applyAlignment="1">
      <alignment horizontal="right"/>
    </xf>
    <xf numFmtId="183" fontId="0" fillId="0" borderId="24" xfId="0" applyNumberFormat="1" applyBorder="1" applyAlignment="1">
      <alignment/>
    </xf>
    <xf numFmtId="183" fontId="0" fillId="0" borderId="25" xfId="0" applyNumberFormat="1" applyBorder="1" applyAlignment="1">
      <alignment/>
    </xf>
    <xf numFmtId="37" fontId="18" fillId="0" borderId="28" xfId="0" applyNumberFormat="1" applyFont="1" applyBorder="1" applyAlignment="1">
      <alignment/>
    </xf>
    <xf numFmtId="37" fontId="18" fillId="3" borderId="28" xfId="0" applyNumberFormat="1" applyFont="1" applyFill="1" applyBorder="1" applyAlignment="1">
      <alignment/>
    </xf>
    <xf numFmtId="37" fontId="16" fillId="0" borderId="0" xfId="0" applyNumberFormat="1" applyFont="1" applyAlignment="1">
      <alignment horizontal="right"/>
    </xf>
    <xf numFmtId="37" fontId="16" fillId="0" borderId="0" xfId="0" applyNumberFormat="1" applyFont="1" applyBorder="1" applyAlignment="1">
      <alignment/>
    </xf>
    <xf numFmtId="37" fontId="0" fillId="0" borderId="34" xfId="0" applyNumberFormat="1" applyBorder="1" applyAlignment="1">
      <alignment/>
    </xf>
    <xf numFmtId="37" fontId="16" fillId="0" borderId="19" xfId="0" applyNumberFormat="1" applyFont="1" applyBorder="1" applyAlignment="1">
      <alignment/>
    </xf>
    <xf numFmtId="37" fontId="21" fillId="0" borderId="4" xfId="15" applyNumberFormat="1" applyFont="1" applyBorder="1" applyAlignment="1">
      <alignment/>
    </xf>
    <xf numFmtId="37" fontId="21" fillId="0" borderId="0" xfId="15" applyNumberFormat="1" applyFont="1" applyBorder="1" applyAlignment="1">
      <alignment/>
    </xf>
    <xf numFmtId="37" fontId="21" fillId="0" borderId="0" xfId="15" applyNumberFormat="1" applyFont="1" applyAlignment="1">
      <alignment/>
    </xf>
    <xf numFmtId="37" fontId="18" fillId="0" borderId="7" xfId="15" applyNumberFormat="1" applyFont="1" applyFill="1" applyBorder="1" applyAlignment="1">
      <alignment/>
    </xf>
    <xf numFmtId="37" fontId="0" fillId="0" borderId="0" xfId="0" applyNumberFormat="1" applyFont="1" applyAlignment="1">
      <alignment wrapText="1"/>
    </xf>
    <xf numFmtId="16" fontId="0" fillId="0" borderId="0" xfId="0" applyNumberFormat="1" applyFont="1" applyAlignment="1" quotePrefix="1">
      <alignment horizontal="center"/>
    </xf>
    <xf numFmtId="15" fontId="0" fillId="0" borderId="0" xfId="15" applyNumberFormat="1" applyFont="1" applyAlignment="1" quotePrefix="1">
      <alignment horizontal="center"/>
    </xf>
    <xf numFmtId="37" fontId="0" fillId="0" borderId="30" xfId="1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43" fontId="0" fillId="0" borderId="0" xfId="15" applyFont="1" applyFill="1" applyAlignment="1">
      <alignment horizontal="center"/>
    </xf>
    <xf numFmtId="9" fontId="14" fillId="0" borderId="0" xfId="23" applyFont="1" applyFill="1" applyAlignment="1">
      <alignment/>
    </xf>
    <xf numFmtId="37" fontId="0" fillId="0" borderId="30" xfId="15" applyNumberFormat="1" applyFont="1" applyFill="1" applyBorder="1" applyAlignment="1">
      <alignment/>
    </xf>
    <xf numFmtId="1" fontId="14" fillId="0" borderId="0" xfId="23" applyNumberFormat="1" applyFont="1" applyAlignment="1">
      <alignment/>
    </xf>
    <xf numFmtId="37" fontId="0" fillId="0" borderId="10" xfId="15" applyNumberFormat="1" applyFont="1" applyFill="1" applyBorder="1" applyAlignment="1">
      <alignment/>
    </xf>
    <xf numFmtId="37" fontId="18" fillId="0" borderId="0" xfId="15" applyNumberFormat="1" applyFont="1" applyFill="1" applyBorder="1" applyAlignment="1">
      <alignment/>
    </xf>
    <xf numFmtId="37" fontId="0" fillId="5" borderId="0" xfId="15" applyNumberFormat="1" applyFont="1" applyFill="1" applyAlignment="1">
      <alignment/>
    </xf>
    <xf numFmtId="37" fontId="0" fillId="5" borderId="0" xfId="15" applyNumberFormat="1" applyFont="1" applyFill="1" applyBorder="1" applyAlignment="1">
      <alignment/>
    </xf>
    <xf numFmtId="171" fontId="0" fillId="5" borderId="0" xfId="15" applyNumberFormat="1" applyFont="1" applyFill="1" applyAlignment="1">
      <alignment/>
    </xf>
    <xf numFmtId="0" fontId="0" fillId="0" borderId="0" xfId="0" applyFill="1" applyAlignment="1">
      <alignment/>
    </xf>
    <xf numFmtId="37" fontId="0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8" fillId="0" borderId="0" xfId="15" applyNumberFormat="1" applyFont="1" applyFill="1" applyAlignment="1">
      <alignment/>
    </xf>
    <xf numFmtId="37" fontId="18" fillId="0" borderId="0" xfId="15" applyNumberFormat="1" applyFont="1" applyBorder="1" applyAlignment="1">
      <alignment/>
    </xf>
    <xf numFmtId="37" fontId="18" fillId="0" borderId="4" xfId="15" applyNumberFormat="1" applyFont="1" applyFill="1" applyBorder="1" applyAlignment="1">
      <alignment/>
    </xf>
    <xf numFmtId="37" fontId="18" fillId="0" borderId="0" xfId="15" applyNumberFormat="1" applyFont="1" applyAlignment="1">
      <alignment/>
    </xf>
    <xf numFmtId="37" fontId="18" fillId="0" borderId="3" xfId="15" applyNumberFormat="1" applyFont="1" applyFill="1" applyBorder="1" applyAlignment="1">
      <alignment/>
    </xf>
    <xf numFmtId="37" fontId="18" fillId="0" borderId="2" xfId="15" applyNumberFormat="1" applyFont="1" applyBorder="1" applyAlignment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37" fontId="10" fillId="0" borderId="7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95250</xdr:rowOff>
    </xdr:from>
    <xdr:to>
      <xdr:col>9</xdr:col>
      <xdr:colOff>0</xdr:colOff>
      <xdr:row>14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56388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77</xdr:row>
      <xdr:rowOff>95250</xdr:rowOff>
    </xdr:from>
    <xdr:to>
      <xdr:col>11</xdr:col>
      <xdr:colOff>85725</xdr:colOff>
      <xdr:row>80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533900" y="11239500"/>
          <a:ext cx="3314700" cy="466725"/>
        </a:xfrm>
        <a:prstGeom prst="wedgeRectCallout">
          <a:avLst>
            <a:gd name="adj1" fmla="val -44481"/>
            <a:gd name="adj2" fmla="val -147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Mainly discount received from Motorola</a:t>
          </a:r>
        </a:p>
      </xdr:txBody>
    </xdr:sp>
    <xdr:clientData/>
  </xdr:twoCellAnchor>
  <xdr:twoCellAnchor>
    <xdr:from>
      <xdr:col>3</xdr:col>
      <xdr:colOff>19050</xdr:colOff>
      <xdr:row>77</xdr:row>
      <xdr:rowOff>57150</xdr:rowOff>
    </xdr:from>
    <xdr:to>
      <xdr:col>4</xdr:col>
      <xdr:colOff>390525</xdr:colOff>
      <xdr:row>80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609850" y="11201400"/>
          <a:ext cx="933450" cy="514350"/>
        </a:xfrm>
        <a:prstGeom prst="wedgeRectCallout">
          <a:avLst>
            <a:gd name="adj1" fmla="val 60203"/>
            <a:gd name="adj2" fmla="val -18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Bad debts recovered from Celcom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31" sqref="D31"/>
    </sheetView>
  </sheetViews>
  <sheetFormatPr defaultColWidth="9.33203125" defaultRowHeight="12.75"/>
  <cols>
    <col min="1" max="1" width="2.33203125" style="0" customWidth="1"/>
    <col min="2" max="2" width="2.83203125" style="0" customWidth="1"/>
    <col min="3" max="3" width="71.16015625" style="0" customWidth="1"/>
    <col min="4" max="5" width="9.33203125" style="2" customWidth="1"/>
  </cols>
  <sheetData>
    <row r="1" ht="12.75">
      <c r="A1" s="7" t="s">
        <v>214</v>
      </c>
    </row>
    <row r="3" ht="12.75">
      <c r="A3" s="7" t="s">
        <v>274</v>
      </c>
    </row>
    <row r="4" spans="4:5" ht="12.75">
      <c r="D4" s="25">
        <v>2002</v>
      </c>
      <c r="E4" s="25">
        <v>2001</v>
      </c>
    </row>
    <row r="6" ht="12.75">
      <c r="A6" s="7" t="s">
        <v>275</v>
      </c>
    </row>
    <row r="7" spans="2:5" ht="12.75">
      <c r="B7" t="s">
        <v>276</v>
      </c>
      <c r="D7" s="2">
        <v>-765</v>
      </c>
      <c r="E7" s="2">
        <v>-1852</v>
      </c>
    </row>
    <row r="8" ht="12.75">
      <c r="B8" t="s">
        <v>277</v>
      </c>
    </row>
    <row r="9" spans="3:5" ht="12.75">
      <c r="C9" t="s">
        <v>192</v>
      </c>
      <c r="D9" s="2">
        <v>3</v>
      </c>
      <c r="E9" s="2">
        <v>6</v>
      </c>
    </row>
    <row r="10" spans="3:5" ht="12.75">
      <c r="C10" t="s">
        <v>232</v>
      </c>
      <c r="D10" s="2">
        <v>327</v>
      </c>
      <c r="E10" s="2">
        <v>1147</v>
      </c>
    </row>
    <row r="11" spans="3:5" ht="12.75">
      <c r="C11" t="s">
        <v>373</v>
      </c>
      <c r="D11" s="4">
        <v>-26</v>
      </c>
      <c r="E11" s="4">
        <v>-411</v>
      </c>
    </row>
    <row r="12" spans="2:5" ht="12.75">
      <c r="B12" t="s">
        <v>233</v>
      </c>
      <c r="D12" s="2">
        <f>SUM(D7:D11)</f>
        <v>-461</v>
      </c>
      <c r="E12" s="2">
        <f>SUM(E7:E11)</f>
        <v>-1110</v>
      </c>
    </row>
    <row r="13" spans="3:5" ht="12.75">
      <c r="C13" t="s">
        <v>58</v>
      </c>
      <c r="D13" s="2">
        <v>-4</v>
      </c>
      <c r="E13" s="2">
        <v>-7</v>
      </c>
    </row>
    <row r="14" spans="3:5" ht="12.75">
      <c r="C14" t="s">
        <v>59</v>
      </c>
      <c r="D14" s="2">
        <v>-101</v>
      </c>
      <c r="E14" s="2">
        <v>86</v>
      </c>
    </row>
    <row r="15" spans="3:5" ht="12.75">
      <c r="C15" t="s">
        <v>60</v>
      </c>
      <c r="D15" s="4">
        <v>4901</v>
      </c>
      <c r="E15" s="4">
        <v>5872</v>
      </c>
    </row>
    <row r="16" spans="2:5" ht="12.75">
      <c r="B16" t="s">
        <v>234</v>
      </c>
      <c r="D16" s="2">
        <f>SUM(D12:D15)</f>
        <v>4335</v>
      </c>
      <c r="E16" s="2">
        <f>SUM(E12:E15)</f>
        <v>4841</v>
      </c>
    </row>
    <row r="17" spans="3:5" ht="12.75">
      <c r="C17" t="s">
        <v>241</v>
      </c>
      <c r="D17" s="2">
        <v>26</v>
      </c>
      <c r="E17" s="2">
        <v>411</v>
      </c>
    </row>
    <row r="18" spans="3:5" ht="12.75">
      <c r="C18" t="s">
        <v>242</v>
      </c>
      <c r="D18" s="2">
        <v>-327</v>
      </c>
      <c r="E18" s="2">
        <v>-1131</v>
      </c>
    </row>
    <row r="19" spans="2:5" ht="12.75">
      <c r="B19" t="s">
        <v>243</v>
      </c>
      <c r="D19" s="29">
        <f>SUM(D16:D18)</f>
        <v>4034</v>
      </c>
      <c r="E19" s="29">
        <f>SUM(E16:E18)</f>
        <v>4121</v>
      </c>
    </row>
    <row r="21" ht="12.75">
      <c r="A21" s="7" t="s">
        <v>278</v>
      </c>
    </row>
    <row r="22" spans="2:5" ht="12.75">
      <c r="B22" t="s">
        <v>279</v>
      </c>
      <c r="D22" s="4">
        <v>0</v>
      </c>
      <c r="E22" s="4">
        <v>-12</v>
      </c>
    </row>
    <row r="24" ht="12.75">
      <c r="A24" s="7" t="s">
        <v>53</v>
      </c>
    </row>
    <row r="25" spans="2:5" ht="12.75">
      <c r="B25" t="s">
        <v>54</v>
      </c>
      <c r="D25" s="31">
        <v>-8128</v>
      </c>
      <c r="E25" s="4">
        <v>0</v>
      </c>
    </row>
    <row r="27" spans="1:5" ht="12.75">
      <c r="A27" t="s">
        <v>55</v>
      </c>
      <c r="D27" s="2">
        <f>+D19+D22+D25</f>
        <v>-4094</v>
      </c>
      <c r="E27" s="2">
        <f>+E19+E22+E25</f>
        <v>4109</v>
      </c>
    </row>
    <row r="29" spans="1:5" ht="12.75">
      <c r="A29" t="s">
        <v>56</v>
      </c>
      <c r="D29" s="2">
        <f>+E31</f>
        <v>4144</v>
      </c>
      <c r="E29" s="2">
        <v>35</v>
      </c>
    </row>
    <row r="30" ht="13.5" thickBot="1"/>
    <row r="31" spans="1:5" ht="13.5" thickBot="1">
      <c r="A31" t="s">
        <v>57</v>
      </c>
      <c r="D31" s="30">
        <f>+D27+D29</f>
        <v>50</v>
      </c>
      <c r="E31" s="30">
        <f>+E27+E29</f>
        <v>4144</v>
      </c>
    </row>
  </sheetData>
  <printOptions gridLines="1"/>
  <pageMargins left="0.5" right="0.2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1">
      <selection activeCell="D57" sqref="D57"/>
    </sheetView>
  </sheetViews>
  <sheetFormatPr defaultColWidth="9.33203125" defaultRowHeight="12.75"/>
  <cols>
    <col min="1" max="1" width="3.33203125" style="78" customWidth="1"/>
    <col min="2" max="2" width="2.33203125" style="78" customWidth="1"/>
    <col min="3" max="3" width="57.66015625" style="78" customWidth="1"/>
    <col min="4" max="4" width="12.66015625" style="96" customWidth="1"/>
    <col min="5" max="5" width="2.66015625" style="125" customWidth="1"/>
    <col min="6" max="6" width="12.66015625" style="125" customWidth="1"/>
    <col min="7" max="7" width="10.66015625" style="125" hidden="1" customWidth="1"/>
    <col min="8" max="8" width="12.66015625" style="74" hidden="1" customWidth="1"/>
    <col min="9" max="9" width="15.33203125" style="71" hidden="1" customWidth="1"/>
    <col min="10" max="11" width="12.66015625" style="96" hidden="1" customWidth="1"/>
    <col min="12" max="12" width="9" style="101" customWidth="1"/>
    <col min="13" max="16384" width="9" style="78" customWidth="1"/>
  </cols>
  <sheetData>
    <row r="1" spans="1:12" s="84" customFormat="1" ht="12.75">
      <c r="A1" s="79" t="s">
        <v>374</v>
      </c>
      <c r="D1" s="74"/>
      <c r="E1" s="136"/>
      <c r="F1" s="136"/>
      <c r="G1" s="136"/>
      <c r="H1" s="74"/>
      <c r="I1" s="70"/>
      <c r="J1" s="74"/>
      <c r="K1" s="74"/>
      <c r="L1" s="173"/>
    </row>
    <row r="2" spans="1:12" s="86" customFormat="1" ht="12.75">
      <c r="A2" s="85" t="s">
        <v>281</v>
      </c>
      <c r="D2" s="137"/>
      <c r="E2" s="138"/>
      <c r="F2" s="138"/>
      <c r="G2" s="138"/>
      <c r="H2" s="74"/>
      <c r="I2" s="70"/>
      <c r="J2" s="137"/>
      <c r="K2" s="137"/>
      <c r="L2" s="249"/>
    </row>
    <row r="3" spans="1:12" s="84" customFormat="1" ht="12.75">
      <c r="A3" s="79"/>
      <c r="D3" s="74"/>
      <c r="E3" s="136"/>
      <c r="F3" s="136"/>
      <c r="G3" s="136"/>
      <c r="H3" s="74"/>
      <c r="I3" s="70"/>
      <c r="J3" s="74"/>
      <c r="K3" s="74"/>
      <c r="L3" s="173"/>
    </row>
    <row r="4" spans="1:12" s="84" customFormat="1" ht="12.75">
      <c r="A4" s="79" t="s">
        <v>116</v>
      </c>
      <c r="D4" s="74"/>
      <c r="E4" s="136"/>
      <c r="F4" s="136"/>
      <c r="G4" s="136"/>
      <c r="H4" s="74"/>
      <c r="I4" s="70"/>
      <c r="J4" s="74"/>
      <c r="K4" s="74"/>
      <c r="L4" s="173"/>
    </row>
    <row r="5" spans="1:12" s="84" customFormat="1" ht="12.75">
      <c r="A5" s="79" t="s">
        <v>464</v>
      </c>
      <c r="D5" s="74"/>
      <c r="E5" s="136"/>
      <c r="F5" s="136"/>
      <c r="G5" s="136"/>
      <c r="H5" s="74"/>
      <c r="I5" s="70"/>
      <c r="J5" s="74"/>
      <c r="K5" s="74"/>
      <c r="L5" s="173"/>
    </row>
    <row r="6" spans="1:12" s="84" customFormat="1" ht="12.75">
      <c r="A6" s="79" t="s">
        <v>170</v>
      </c>
      <c r="D6" s="74"/>
      <c r="E6" s="136"/>
      <c r="F6" s="178"/>
      <c r="G6" s="136"/>
      <c r="H6" s="74"/>
      <c r="I6" s="70"/>
      <c r="J6" s="74"/>
      <c r="K6" s="74"/>
      <c r="L6" s="173"/>
    </row>
    <row r="7" spans="4:12" s="84" customFormat="1" ht="12.75">
      <c r="D7" s="90" t="s">
        <v>217</v>
      </c>
      <c r="E7" s="139"/>
      <c r="F7" s="90" t="s">
        <v>217</v>
      </c>
      <c r="G7" s="139"/>
      <c r="H7" s="90" t="s">
        <v>168</v>
      </c>
      <c r="I7" s="201" t="s">
        <v>203</v>
      </c>
      <c r="J7" s="90" t="s">
        <v>365</v>
      </c>
      <c r="K7" s="90" t="s">
        <v>217</v>
      </c>
      <c r="L7" s="173"/>
    </row>
    <row r="8" spans="1:12" s="84" customFormat="1" ht="12.75">
      <c r="A8" s="79"/>
      <c r="D8" s="90" t="s">
        <v>312</v>
      </c>
      <c r="E8" s="139"/>
      <c r="F8" s="90" t="s">
        <v>312</v>
      </c>
      <c r="G8" s="139"/>
      <c r="H8" s="90" t="s">
        <v>312</v>
      </c>
      <c r="I8" s="201" t="s">
        <v>312</v>
      </c>
      <c r="J8" s="90" t="s">
        <v>312</v>
      </c>
      <c r="K8" s="90" t="s">
        <v>312</v>
      </c>
      <c r="L8" s="173"/>
    </row>
    <row r="9" spans="4:12" s="84" customFormat="1" ht="25.5">
      <c r="D9" s="247">
        <v>39629</v>
      </c>
      <c r="E9" s="136"/>
      <c r="F9" s="247">
        <v>39263</v>
      </c>
      <c r="G9" s="136"/>
      <c r="H9" s="170" t="s">
        <v>201</v>
      </c>
      <c r="I9" s="201" t="s">
        <v>204</v>
      </c>
      <c r="J9" s="170" t="s">
        <v>364</v>
      </c>
      <c r="K9" s="193" t="s">
        <v>216</v>
      </c>
      <c r="L9" s="173"/>
    </row>
    <row r="10" spans="4:12" s="84" customFormat="1" ht="12.75">
      <c r="D10" s="90" t="s">
        <v>105</v>
      </c>
      <c r="E10" s="139"/>
      <c r="F10" s="90" t="s">
        <v>105</v>
      </c>
      <c r="G10" s="139"/>
      <c r="H10" s="90" t="s">
        <v>105</v>
      </c>
      <c r="I10" s="201" t="s">
        <v>105</v>
      </c>
      <c r="J10" s="90" t="s">
        <v>105</v>
      </c>
      <c r="K10" s="90" t="s">
        <v>105</v>
      </c>
      <c r="L10" s="173"/>
    </row>
    <row r="11" spans="1:12" s="84" customFormat="1" ht="12.75">
      <c r="A11" s="79" t="s">
        <v>231</v>
      </c>
      <c r="D11" s="74"/>
      <c r="E11" s="136"/>
      <c r="F11" s="136"/>
      <c r="G11" s="136"/>
      <c r="H11" s="74"/>
      <c r="I11" s="71"/>
      <c r="J11" s="74"/>
      <c r="K11" s="74"/>
      <c r="L11" s="173"/>
    </row>
    <row r="12" spans="2:12" s="84" customFormat="1" ht="12.75">
      <c r="B12" s="84" t="s">
        <v>443</v>
      </c>
      <c r="D12" s="74">
        <v>23829</v>
      </c>
      <c r="E12" s="136"/>
      <c r="F12" s="74">
        <v>3891</v>
      </c>
      <c r="G12" s="136"/>
      <c r="H12" s="74">
        <v>-259.19357999995185</v>
      </c>
      <c r="I12" s="153">
        <f>(1277730.45*42.54%)/1000+1580.18147</f>
        <v>2123.72800343</v>
      </c>
      <c r="J12" s="74">
        <v>3255.4815874920023</v>
      </c>
      <c r="K12" s="74">
        <v>3891.494450784</v>
      </c>
      <c r="L12" s="173"/>
    </row>
    <row r="13" spans="2:12" s="84" customFormat="1" ht="12.75">
      <c r="B13" s="84" t="s">
        <v>106</v>
      </c>
      <c r="D13" s="74"/>
      <c r="E13" s="136"/>
      <c r="F13" s="74"/>
      <c r="G13" s="136"/>
      <c r="H13" s="74"/>
      <c r="I13" s="72"/>
      <c r="J13" s="74"/>
      <c r="K13" s="74"/>
      <c r="L13" s="173"/>
    </row>
    <row r="14" spans="3:12" s="84" customFormat="1" ht="12.75">
      <c r="C14" s="84" t="s">
        <v>107</v>
      </c>
      <c r="D14" s="74">
        <v>759.4079499999998</v>
      </c>
      <c r="E14" s="136"/>
      <c r="F14" s="74">
        <v>324</v>
      </c>
      <c r="G14" s="136"/>
      <c r="H14" s="74">
        <v>46.641270000000006</v>
      </c>
      <c r="I14" s="72">
        <v>176.8046699999998</v>
      </c>
      <c r="J14" s="74">
        <v>180.57031999999992</v>
      </c>
      <c r="K14" s="74">
        <v>324.3364799999999</v>
      </c>
      <c r="L14" s="173"/>
    </row>
    <row r="15" spans="1:12" s="84" customFormat="1" ht="12.75">
      <c r="A15" s="173"/>
      <c r="B15" s="173"/>
      <c r="C15" s="173" t="s">
        <v>472</v>
      </c>
      <c r="D15" s="74">
        <v>-23985.716972750004</v>
      </c>
      <c r="E15" s="136"/>
      <c r="F15" s="74">
        <v>-4218</v>
      </c>
      <c r="G15" s="136"/>
      <c r="H15" s="74">
        <v>0</v>
      </c>
      <c r="I15" s="72">
        <f>(-1277730.45*42.54%)/1000</f>
        <v>-543.54653343</v>
      </c>
      <c r="J15" s="74">
        <v>-2891.166427492</v>
      </c>
      <c r="K15" s="74">
        <v>-4217.975980783996</v>
      </c>
      <c r="L15" s="173"/>
    </row>
    <row r="16" spans="1:12" s="84" customFormat="1" ht="12.75">
      <c r="A16" s="173"/>
      <c r="B16" s="173"/>
      <c r="C16" s="173" t="s">
        <v>108</v>
      </c>
      <c r="D16" s="119">
        <v>182.39384999999993</v>
      </c>
      <c r="E16" s="136"/>
      <c r="F16" s="119">
        <v>-2813</v>
      </c>
      <c r="G16" s="136"/>
      <c r="H16" s="119">
        <v>-194.47629</v>
      </c>
      <c r="I16" s="187">
        <v>-2548.4871999999996</v>
      </c>
      <c r="J16" s="119">
        <v>-2739.8255554999996</v>
      </c>
      <c r="K16" s="119">
        <v>-2812.8793854999994</v>
      </c>
      <c r="L16" s="173"/>
    </row>
    <row r="17" spans="1:12" s="84" customFormat="1" ht="12.75">
      <c r="A17" s="173"/>
      <c r="B17" s="173" t="s">
        <v>454</v>
      </c>
      <c r="C17" s="173"/>
      <c r="D17" s="74">
        <f>SUM(D12:D16)</f>
        <v>785.0848272499966</v>
      </c>
      <c r="E17" s="136"/>
      <c r="F17" s="74">
        <f>SUM(F12:F16)</f>
        <v>-2816</v>
      </c>
      <c r="G17" s="136"/>
      <c r="H17" s="74">
        <v>-407.02859999995184</v>
      </c>
      <c r="I17" s="72">
        <v>-791.5010599999991</v>
      </c>
      <c r="J17" s="74">
        <v>-2194.9400754999992</v>
      </c>
      <c r="K17" s="74">
        <v>-2816.0244354999995</v>
      </c>
      <c r="L17" s="173"/>
    </row>
    <row r="18" spans="1:12" s="84" customFormat="1" ht="12.75">
      <c r="A18" s="173"/>
      <c r="B18" s="173"/>
      <c r="C18" s="173" t="s">
        <v>109</v>
      </c>
      <c r="D18" s="263">
        <v>12269.01989</v>
      </c>
      <c r="E18" s="136"/>
      <c r="F18" s="126">
        <f>-8045-1</f>
        <v>-8046</v>
      </c>
      <c r="G18" s="136"/>
      <c r="H18" s="126">
        <v>-103.29312000000084</v>
      </c>
      <c r="I18" s="72">
        <v>-1444.572329999999</v>
      </c>
      <c r="J18" s="159">
        <v>-9244.139499999997</v>
      </c>
      <c r="K18" s="126">
        <v>-7824.195269999998</v>
      </c>
      <c r="L18" s="173"/>
    </row>
    <row r="19" spans="1:12" s="84" customFormat="1" ht="12.75">
      <c r="A19" s="173"/>
      <c r="B19" s="173"/>
      <c r="C19" s="173" t="s">
        <v>110</v>
      </c>
      <c r="D19" s="265">
        <f>1254+1</f>
        <v>1255</v>
      </c>
      <c r="E19" s="136"/>
      <c r="F19" s="155">
        <v>-354</v>
      </c>
      <c r="G19" s="136"/>
      <c r="H19" s="119">
        <v>194.43665999999996</v>
      </c>
      <c r="I19" s="187">
        <v>415.1355500000017</v>
      </c>
      <c r="J19" s="119">
        <v>556.597949999996</v>
      </c>
      <c r="K19" s="119">
        <v>-575.2312900000121</v>
      </c>
      <c r="L19" s="173"/>
    </row>
    <row r="20" spans="1:12" s="84" customFormat="1" ht="12.75">
      <c r="A20" s="173"/>
      <c r="B20" s="173" t="s">
        <v>199</v>
      </c>
      <c r="C20" s="173"/>
      <c r="D20" s="74">
        <f>SUM(D17:D19)</f>
        <v>14309.104717249997</v>
      </c>
      <c r="E20" s="136"/>
      <c r="F20" s="126">
        <f>SUM(F17:F19)</f>
        <v>-11216</v>
      </c>
      <c r="G20" s="136"/>
      <c r="H20" s="74">
        <v>-315.8850599999527</v>
      </c>
      <c r="I20" s="72">
        <v>-1820.9378399999964</v>
      </c>
      <c r="J20" s="74">
        <v>-10882.4816255</v>
      </c>
      <c r="K20" s="74">
        <v>-11215.45099550001</v>
      </c>
      <c r="L20" s="173"/>
    </row>
    <row r="21" spans="1:12" s="84" customFormat="1" ht="12.75">
      <c r="A21" s="173"/>
      <c r="B21" s="173"/>
      <c r="C21" s="173" t="s">
        <v>111</v>
      </c>
      <c r="D21" s="74">
        <v>357.5099</v>
      </c>
      <c r="E21" s="136"/>
      <c r="F21" s="126">
        <v>220</v>
      </c>
      <c r="G21" s="136"/>
      <c r="H21" s="74">
        <v>69.47629</v>
      </c>
      <c r="I21" s="72">
        <v>147.18019999999999</v>
      </c>
      <c r="J21" s="74">
        <v>186.37573</v>
      </c>
      <c r="K21" s="74">
        <v>220.33956000000003</v>
      </c>
      <c r="L21" s="173"/>
    </row>
    <row r="22" spans="1:12" s="84" customFormat="1" ht="12.75">
      <c r="A22" s="173"/>
      <c r="B22" s="173"/>
      <c r="C22" s="173" t="s">
        <v>112</v>
      </c>
      <c r="D22" s="74">
        <v>-539.7174</v>
      </c>
      <c r="E22" s="136"/>
      <c r="F22" s="126">
        <v>0</v>
      </c>
      <c r="G22" s="136"/>
      <c r="H22" s="74">
        <v>0</v>
      </c>
      <c r="I22" s="72">
        <v>0</v>
      </c>
      <c r="J22" s="74">
        <v>0</v>
      </c>
      <c r="K22" s="74">
        <v>0</v>
      </c>
      <c r="L22" s="173"/>
    </row>
    <row r="23" spans="1:12" s="84" customFormat="1" ht="12.75">
      <c r="A23" s="173"/>
      <c r="B23" s="173"/>
      <c r="C23" s="173" t="s">
        <v>455</v>
      </c>
      <c r="D23" s="74">
        <v>-29</v>
      </c>
      <c r="E23" s="136"/>
      <c r="F23" s="126">
        <v>211</v>
      </c>
      <c r="G23" s="136"/>
      <c r="H23" s="74">
        <v>-0.501</v>
      </c>
      <c r="I23" s="72">
        <v>-2.754</v>
      </c>
      <c r="J23" s="74">
        <v>-7.865000000000009</v>
      </c>
      <c r="K23" s="74">
        <v>211.0803</v>
      </c>
      <c r="L23" s="173"/>
    </row>
    <row r="24" spans="1:12" s="84" customFormat="1" ht="12.75">
      <c r="A24" s="173"/>
      <c r="B24" s="173" t="s">
        <v>200</v>
      </c>
      <c r="C24" s="173"/>
      <c r="D24" s="117">
        <f>SUM(D20:D23)</f>
        <v>14097.897217249998</v>
      </c>
      <c r="E24" s="136"/>
      <c r="F24" s="158">
        <v>-10784.031135500007</v>
      </c>
      <c r="G24" s="136"/>
      <c r="H24" s="117">
        <v>-246.90976999995272</v>
      </c>
      <c r="I24" s="190">
        <v>-1676.5116399999963</v>
      </c>
      <c r="J24" s="117">
        <v>-10703.9708955</v>
      </c>
      <c r="K24" s="117">
        <v>-10784.03113550001</v>
      </c>
      <c r="L24" s="173"/>
    </row>
    <row r="25" spans="1:12" s="84" customFormat="1" ht="12.75">
      <c r="A25" s="173"/>
      <c r="B25" s="173"/>
      <c r="C25" s="173"/>
      <c r="D25" s="74"/>
      <c r="E25" s="136"/>
      <c r="F25" s="178"/>
      <c r="G25" s="136"/>
      <c r="H25" s="74"/>
      <c r="I25" s="71"/>
      <c r="J25" s="74"/>
      <c r="K25" s="74"/>
      <c r="L25" s="173"/>
    </row>
    <row r="26" spans="1:12" s="84" customFormat="1" ht="12.75">
      <c r="A26" s="87" t="s">
        <v>113</v>
      </c>
      <c r="B26" s="173"/>
      <c r="C26" s="173"/>
      <c r="D26" s="74"/>
      <c r="E26" s="136"/>
      <c r="F26" s="178"/>
      <c r="G26" s="136"/>
      <c r="H26" s="74"/>
      <c r="I26" s="71"/>
      <c r="J26" s="74"/>
      <c r="K26" s="74"/>
      <c r="L26" s="173"/>
    </row>
    <row r="27" spans="1:12" s="84" customFormat="1" ht="12.75">
      <c r="A27" s="87"/>
      <c r="B27" s="173" t="s">
        <v>129</v>
      </c>
      <c r="C27" s="173"/>
      <c r="D27" s="159"/>
      <c r="E27" s="136"/>
      <c r="F27" s="126"/>
      <c r="G27" s="136"/>
      <c r="H27" s="126"/>
      <c r="I27" s="72"/>
      <c r="J27" s="159"/>
      <c r="K27" s="159"/>
      <c r="L27" s="173"/>
    </row>
    <row r="28" spans="1:12" s="84" customFormat="1" ht="12.75">
      <c r="A28" s="87"/>
      <c r="B28" s="173"/>
      <c r="C28" s="173" t="s">
        <v>128</v>
      </c>
      <c r="D28" s="126">
        <v>0.006</v>
      </c>
      <c r="E28" s="136"/>
      <c r="F28" s="126">
        <v>6240</v>
      </c>
      <c r="G28" s="136"/>
      <c r="H28" s="126">
        <v>346</v>
      </c>
      <c r="I28" s="72">
        <f>6559-346</f>
        <v>6213</v>
      </c>
      <c r="J28" s="126">
        <v>6227.3525</v>
      </c>
      <c r="K28" s="126">
        <v>6239.91</v>
      </c>
      <c r="L28" s="173"/>
    </row>
    <row r="29" spans="1:12" s="84" customFormat="1" ht="12.75">
      <c r="A29" s="87"/>
      <c r="B29" s="173"/>
      <c r="C29" s="173" t="s">
        <v>125</v>
      </c>
      <c r="D29" s="126">
        <v>0</v>
      </c>
      <c r="E29" s="136"/>
      <c r="F29" s="126">
        <f>346+1</f>
        <v>347</v>
      </c>
      <c r="G29" s="258"/>
      <c r="H29" s="257">
        <v>0</v>
      </c>
      <c r="I29" s="259">
        <v>346</v>
      </c>
      <c r="J29" s="257">
        <v>346</v>
      </c>
      <c r="K29" s="257">
        <v>346</v>
      </c>
      <c r="L29" s="173"/>
    </row>
    <row r="30" spans="1:12" s="84" customFormat="1" ht="12.75">
      <c r="A30" s="87"/>
      <c r="B30" s="173"/>
      <c r="C30" s="173" t="s">
        <v>126</v>
      </c>
      <c r="D30" s="126">
        <v>0</v>
      </c>
      <c r="E30" s="136"/>
      <c r="F30" s="126">
        <v>550</v>
      </c>
      <c r="G30" s="136"/>
      <c r="H30" s="126">
        <v>0</v>
      </c>
      <c r="I30" s="72">
        <v>0</v>
      </c>
      <c r="J30" s="126">
        <v>550</v>
      </c>
      <c r="K30" s="126">
        <v>550</v>
      </c>
      <c r="L30" s="173"/>
    </row>
    <row r="31" spans="1:12" s="84" customFormat="1" ht="12.75">
      <c r="A31" s="87"/>
      <c r="B31" s="173" t="s">
        <v>127</v>
      </c>
      <c r="C31" s="173"/>
      <c r="D31" s="126">
        <v>0</v>
      </c>
      <c r="E31" s="136"/>
      <c r="F31" s="126">
        <v>-750</v>
      </c>
      <c r="G31" s="136"/>
      <c r="H31" s="126">
        <v>0</v>
      </c>
      <c r="I31" s="72">
        <v>0</v>
      </c>
      <c r="J31" s="126">
        <v>-749.68351</v>
      </c>
      <c r="K31" s="126">
        <v>-749.66351</v>
      </c>
      <c r="L31" s="173"/>
    </row>
    <row r="32" spans="1:12" s="84" customFormat="1" ht="12.75">
      <c r="A32" s="87"/>
      <c r="B32" s="173" t="s">
        <v>114</v>
      </c>
      <c r="C32" s="173"/>
      <c r="D32" s="188">
        <v>-178</v>
      </c>
      <c r="E32" s="136"/>
      <c r="F32" s="126">
        <v>-189</v>
      </c>
      <c r="G32" s="136"/>
      <c r="H32" s="126"/>
      <c r="I32" s="72"/>
      <c r="J32" s="126"/>
      <c r="K32" s="126"/>
      <c r="L32" s="173"/>
    </row>
    <row r="33" spans="1:12" s="84" customFormat="1" ht="12.75">
      <c r="A33" s="173"/>
      <c r="B33" s="173" t="s">
        <v>459</v>
      </c>
      <c r="C33" s="173"/>
      <c r="D33" s="264">
        <v>-71644</v>
      </c>
      <c r="E33" s="136"/>
      <c r="F33" s="74">
        <v>0</v>
      </c>
      <c r="G33" s="136"/>
      <c r="H33" s="136">
        <v>-153.6044</v>
      </c>
      <c r="I33" s="72">
        <v>-166.1094</v>
      </c>
      <c r="J33" s="136">
        <v>-180.7164</v>
      </c>
      <c r="K33" s="242">
        <v>-188.63039999999998</v>
      </c>
      <c r="L33" s="173"/>
    </row>
    <row r="34" spans="1:12" s="84" customFormat="1" ht="12.75" hidden="1">
      <c r="A34" s="173"/>
      <c r="B34" s="260" t="s">
        <v>64</v>
      </c>
      <c r="C34" s="173"/>
      <c r="D34" s="242">
        <v>0</v>
      </c>
      <c r="E34" s="136"/>
      <c r="F34" s="136">
        <v>0</v>
      </c>
      <c r="G34" s="136"/>
      <c r="H34" s="119"/>
      <c r="I34" s="192"/>
      <c r="J34" s="119"/>
      <c r="K34" s="241"/>
      <c r="L34" s="173"/>
    </row>
    <row r="35" spans="1:12" s="84" customFormat="1" ht="12.75">
      <c r="A35" s="173"/>
      <c r="B35" s="173" t="s">
        <v>473</v>
      </c>
      <c r="C35" s="173"/>
      <c r="D35" s="117">
        <f>SUM(D28:D34)</f>
        <v>-71821.994</v>
      </c>
      <c r="E35" s="136"/>
      <c r="F35" s="117">
        <f>SUM(F28:F34)</f>
        <v>6198</v>
      </c>
      <c r="G35" s="136"/>
      <c r="H35" s="117">
        <v>192.3956</v>
      </c>
      <c r="I35" s="190">
        <v>6392.9906</v>
      </c>
      <c r="J35" s="117">
        <v>6192.95259</v>
      </c>
      <c r="K35" s="117">
        <v>6196.6160899999995</v>
      </c>
      <c r="L35" s="173"/>
    </row>
    <row r="36" spans="1:12" s="84" customFormat="1" ht="12.75">
      <c r="A36" s="173"/>
      <c r="B36" s="173"/>
      <c r="C36" s="173"/>
      <c r="D36" s="74"/>
      <c r="E36" s="136"/>
      <c r="F36" s="136"/>
      <c r="G36" s="136"/>
      <c r="H36" s="74"/>
      <c r="I36" s="71"/>
      <c r="J36" s="74"/>
      <c r="K36" s="74"/>
      <c r="L36" s="173"/>
    </row>
    <row r="37" spans="1:12" s="84" customFormat="1" ht="12.75">
      <c r="A37" s="87" t="s">
        <v>115</v>
      </c>
      <c r="B37" s="173"/>
      <c r="C37" s="173"/>
      <c r="D37" s="74"/>
      <c r="E37" s="136"/>
      <c r="F37" s="136"/>
      <c r="G37" s="136"/>
      <c r="H37" s="74"/>
      <c r="I37" s="71"/>
      <c r="J37" s="74"/>
      <c r="K37" s="74"/>
      <c r="L37" s="173"/>
    </row>
    <row r="38" spans="1:12" s="84" customFormat="1" ht="12.75" hidden="1">
      <c r="A38" s="87"/>
      <c r="B38" s="173" t="s">
        <v>141</v>
      </c>
      <c r="C38" s="173"/>
      <c r="D38" s="74">
        <v>0</v>
      </c>
      <c r="E38" s="136"/>
      <c r="F38" s="132">
        <v>0</v>
      </c>
      <c r="G38" s="136"/>
      <c r="H38" s="74">
        <v>0</v>
      </c>
      <c r="I38" s="71">
        <v>0</v>
      </c>
      <c r="J38" s="74">
        <v>0</v>
      </c>
      <c r="K38" s="74">
        <v>0</v>
      </c>
      <c r="L38" s="173"/>
    </row>
    <row r="39" spans="1:12" s="84" customFormat="1" ht="12.75">
      <c r="A39" s="87"/>
      <c r="B39" s="173" t="s">
        <v>453</v>
      </c>
      <c r="C39" s="173"/>
      <c r="D39" s="263">
        <f>4-1</f>
        <v>3</v>
      </c>
      <c r="E39" s="136"/>
      <c r="F39" s="132">
        <v>0</v>
      </c>
      <c r="G39" s="136"/>
      <c r="H39" s="74"/>
      <c r="I39" s="71"/>
      <c r="J39" s="74"/>
      <c r="K39" s="74"/>
      <c r="L39" s="173"/>
    </row>
    <row r="40" spans="1:12" s="84" customFormat="1" ht="12.75">
      <c r="A40" s="87"/>
      <c r="B40" s="173" t="s">
        <v>23</v>
      </c>
      <c r="C40" s="173"/>
      <c r="D40" s="74">
        <v>69667</v>
      </c>
      <c r="E40" s="136"/>
      <c r="F40" s="132">
        <v>0</v>
      </c>
      <c r="G40" s="136"/>
      <c r="H40" s="74">
        <v>0</v>
      </c>
      <c r="I40" s="71">
        <v>0</v>
      </c>
      <c r="J40" s="74">
        <v>0</v>
      </c>
      <c r="K40" s="74">
        <v>0</v>
      </c>
      <c r="L40" s="173"/>
    </row>
    <row r="41" spans="1:12" s="84" customFormat="1" ht="12.75">
      <c r="A41" s="173"/>
      <c r="B41" s="173" t="s">
        <v>205</v>
      </c>
      <c r="C41" s="173"/>
      <c r="D41" s="136">
        <v>61400</v>
      </c>
      <c r="E41" s="136"/>
      <c r="F41" s="132">
        <v>0</v>
      </c>
      <c r="G41" s="136"/>
      <c r="H41" s="136">
        <v>0</v>
      </c>
      <c r="I41" s="71">
        <v>0</v>
      </c>
      <c r="J41" s="136">
        <v>0</v>
      </c>
      <c r="K41" s="136">
        <v>0</v>
      </c>
      <c r="L41" s="173"/>
    </row>
    <row r="42" spans="1:12" s="84" customFormat="1" ht="12.75">
      <c r="A42" s="173"/>
      <c r="B42" s="260" t="s">
        <v>442</v>
      </c>
      <c r="C42" s="173"/>
      <c r="D42" s="136">
        <v>-61400</v>
      </c>
      <c r="E42" s="136"/>
      <c r="F42" s="132">
        <v>0</v>
      </c>
      <c r="G42" s="136"/>
      <c r="H42" s="136"/>
      <c r="I42" s="71"/>
      <c r="J42" s="136"/>
      <c r="K42" s="136"/>
      <c r="L42" s="173"/>
    </row>
    <row r="43" spans="1:12" s="84" customFormat="1" ht="12.75" hidden="1">
      <c r="A43" s="173"/>
      <c r="B43" s="173" t="s">
        <v>130</v>
      </c>
      <c r="C43" s="173"/>
      <c r="D43" s="136">
        <v>0</v>
      </c>
      <c r="E43" s="136"/>
      <c r="F43" s="132">
        <v>0</v>
      </c>
      <c r="G43" s="136"/>
      <c r="H43" s="119">
        <v>0</v>
      </c>
      <c r="I43" s="71">
        <v>0</v>
      </c>
      <c r="J43" s="119">
        <v>0</v>
      </c>
      <c r="K43" s="119">
        <v>0</v>
      </c>
      <c r="L43" s="173"/>
    </row>
    <row r="44" spans="1:12" s="84" customFormat="1" ht="12.75">
      <c r="A44" s="173"/>
      <c r="B44" s="173" t="s">
        <v>228</v>
      </c>
      <c r="C44" s="173"/>
      <c r="D44" s="136">
        <v>-0.002439999967464246</v>
      </c>
      <c r="E44" s="136"/>
      <c r="F44" s="132">
        <v>0</v>
      </c>
      <c r="G44" s="136"/>
      <c r="H44" s="119"/>
      <c r="I44" s="71"/>
      <c r="J44" s="119"/>
      <c r="K44" s="119"/>
      <c r="L44" s="173"/>
    </row>
    <row r="45" spans="1:12" s="84" customFormat="1" ht="12.75">
      <c r="A45" s="173"/>
      <c r="B45" s="173" t="s">
        <v>248</v>
      </c>
      <c r="C45" s="173"/>
      <c r="D45" s="117">
        <f>SUM(D38:D44)</f>
        <v>69669.99756000003</v>
      </c>
      <c r="E45" s="136"/>
      <c r="F45" s="117">
        <v>0</v>
      </c>
      <c r="G45" s="136"/>
      <c r="H45" s="117">
        <v>0</v>
      </c>
      <c r="I45" s="203">
        <v>0</v>
      </c>
      <c r="J45" s="117">
        <v>0</v>
      </c>
      <c r="K45" s="117">
        <v>0</v>
      </c>
      <c r="L45" s="173"/>
    </row>
    <row r="46" spans="1:12" s="84" customFormat="1" ht="12.75">
      <c r="A46" s="173"/>
      <c r="B46" s="173"/>
      <c r="C46" s="173"/>
      <c r="D46" s="74"/>
      <c r="E46" s="136"/>
      <c r="F46" s="136"/>
      <c r="G46" s="136"/>
      <c r="H46" s="74"/>
      <c r="I46" s="71"/>
      <c r="J46" s="74"/>
      <c r="K46" s="74"/>
      <c r="L46" s="173"/>
    </row>
    <row r="47" spans="1:12" s="84" customFormat="1" ht="12.75">
      <c r="A47" s="87" t="s">
        <v>28</v>
      </c>
      <c r="B47" s="173"/>
      <c r="C47" s="173"/>
      <c r="D47" s="74">
        <f>+D24+D35+D45</f>
        <v>11945.900777250026</v>
      </c>
      <c r="E47" s="136"/>
      <c r="F47" s="74">
        <f>+F24+F35+F45</f>
        <v>-4586.031135500007</v>
      </c>
      <c r="G47" s="136"/>
      <c r="H47" s="74">
        <v>-54.51416999995271</v>
      </c>
      <c r="I47" s="72">
        <v>4716.478960000004</v>
      </c>
      <c r="J47" s="74">
        <v>-4511.0183055</v>
      </c>
      <c r="K47" s="74">
        <v>-4587.415045500011</v>
      </c>
      <c r="L47" s="173"/>
    </row>
    <row r="48" spans="4:12" s="84" customFormat="1" ht="12.75">
      <c r="D48" s="74"/>
      <c r="E48" s="136"/>
      <c r="F48" s="122"/>
      <c r="G48" s="136"/>
      <c r="H48" s="74"/>
      <c r="I48" s="71"/>
      <c r="J48" s="74"/>
      <c r="K48" s="74"/>
      <c r="L48" s="173"/>
    </row>
    <row r="49" spans="1:12" s="84" customFormat="1" ht="12.75">
      <c r="A49" s="79" t="s">
        <v>118</v>
      </c>
      <c r="D49" s="74">
        <f>+F57</f>
        <v>6840.1738399999995</v>
      </c>
      <c r="E49" s="136"/>
      <c r="F49" s="74">
        <v>11426.59027</v>
      </c>
      <c r="G49" s="136"/>
      <c r="H49" s="74">
        <v>11306.89151999994</v>
      </c>
      <c r="I49" s="72">
        <v>11306.89151999994</v>
      </c>
      <c r="J49" s="74">
        <v>11426.59027</v>
      </c>
      <c r="K49" s="74">
        <v>11426.59027</v>
      </c>
      <c r="L49" s="173"/>
    </row>
    <row r="50" spans="4:12" s="84" customFormat="1" ht="12.75">
      <c r="D50" s="74"/>
      <c r="E50" s="136"/>
      <c r="F50" s="136"/>
      <c r="G50" s="136"/>
      <c r="H50" s="74"/>
      <c r="I50" s="71"/>
      <c r="J50" s="74"/>
      <c r="K50" s="74"/>
      <c r="L50" s="173"/>
    </row>
    <row r="51" spans="1:12" s="84" customFormat="1" ht="13.5" thickBot="1">
      <c r="A51" s="79" t="s">
        <v>117</v>
      </c>
      <c r="D51" s="118">
        <f>SUM(D47:D50)</f>
        <v>18786.074617250026</v>
      </c>
      <c r="E51" s="136"/>
      <c r="F51" s="118">
        <f>SUM(F47:F50)</f>
        <v>6840.559134499994</v>
      </c>
      <c r="G51" s="136"/>
      <c r="H51" s="118">
        <v>11252.377349999986</v>
      </c>
      <c r="I51" s="73">
        <v>16023.370479999943</v>
      </c>
      <c r="J51" s="118">
        <f>J47+J49</f>
        <v>6915.571964500001</v>
      </c>
      <c r="K51" s="118">
        <v>6839.67522449999</v>
      </c>
      <c r="L51" s="173"/>
    </row>
    <row r="52" spans="4:12" s="84" customFormat="1" ht="12.75">
      <c r="D52" s="74"/>
      <c r="E52" s="136"/>
      <c r="F52" s="136"/>
      <c r="G52" s="136"/>
      <c r="H52" s="74"/>
      <c r="I52" s="71"/>
      <c r="K52" s="74"/>
      <c r="L52" s="173"/>
    </row>
    <row r="53" spans="1:12" s="84" customFormat="1" ht="12.75">
      <c r="A53" s="79" t="s">
        <v>239</v>
      </c>
      <c r="D53" s="74"/>
      <c r="E53" s="136"/>
      <c r="F53" s="136"/>
      <c r="G53" s="136"/>
      <c r="H53" s="74"/>
      <c r="I53" s="71"/>
      <c r="K53" s="74"/>
      <c r="L53" s="173"/>
    </row>
    <row r="54" spans="2:12" s="84" customFormat="1" ht="12.75">
      <c r="B54" s="84" t="s">
        <v>67</v>
      </c>
      <c r="D54" s="74">
        <v>18393.823940000002</v>
      </c>
      <c r="E54" s="136"/>
      <c r="F54" s="74">
        <v>6220</v>
      </c>
      <c r="G54" s="136"/>
      <c r="H54" s="74">
        <v>9976.622599999999</v>
      </c>
      <c r="I54" s="72">
        <v>14794.29124</v>
      </c>
      <c r="J54" s="74">
        <v>6069.60755</v>
      </c>
      <c r="K54" s="74">
        <v>6220.31805</v>
      </c>
      <c r="L54" s="173"/>
    </row>
    <row r="55" spans="2:12" s="84" customFormat="1" ht="12.75">
      <c r="B55" s="84" t="s">
        <v>187</v>
      </c>
      <c r="D55" s="74">
        <v>391.83729000000005</v>
      </c>
      <c r="E55" s="136"/>
      <c r="F55" s="74">
        <v>620</v>
      </c>
      <c r="G55" s="136"/>
      <c r="H55" s="74">
        <v>1275.4432000000002</v>
      </c>
      <c r="I55" s="72">
        <v>1228.2816400000002</v>
      </c>
      <c r="J55" s="74">
        <f>845.87114+0.1</f>
        <v>845.97114</v>
      </c>
      <c r="K55" s="74">
        <v>619.8557900000001</v>
      </c>
      <c r="L55" s="173"/>
    </row>
    <row r="56" spans="2:12" s="84" customFormat="1" ht="12.75" hidden="1">
      <c r="B56" s="84" t="s">
        <v>240</v>
      </c>
      <c r="D56" s="74">
        <v>0</v>
      </c>
      <c r="E56" s="136"/>
      <c r="F56" s="124">
        <v>0</v>
      </c>
      <c r="G56" s="136"/>
      <c r="H56" s="74">
        <v>0</v>
      </c>
      <c r="I56" s="71">
        <v>0</v>
      </c>
      <c r="J56" s="74"/>
      <c r="K56" s="74">
        <v>0</v>
      </c>
      <c r="L56" s="173"/>
    </row>
    <row r="57" spans="4:12" s="84" customFormat="1" ht="13.5" thickBot="1">
      <c r="D57" s="118">
        <f>SUM(D54:D56)</f>
        <v>18785.66123</v>
      </c>
      <c r="E57" s="136"/>
      <c r="F57" s="118">
        <v>6840.1738399999995</v>
      </c>
      <c r="G57" s="136"/>
      <c r="H57" s="118">
        <v>11252.065799999998</v>
      </c>
      <c r="I57" s="73">
        <v>16022.57288</v>
      </c>
      <c r="J57" s="118">
        <v>6916.47869</v>
      </c>
      <c r="K57" s="118">
        <v>6840.1738399999995</v>
      </c>
      <c r="L57" s="173"/>
    </row>
    <row r="58" spans="4:12" s="84" customFormat="1" ht="12.75">
      <c r="D58" s="72"/>
      <c r="E58" s="195"/>
      <c r="F58" s="72"/>
      <c r="G58" s="136"/>
      <c r="H58" s="74"/>
      <c r="I58" s="71"/>
      <c r="J58" s="74"/>
      <c r="K58" s="74"/>
      <c r="L58" s="173"/>
    </row>
    <row r="60" spans="1:9" ht="12.75">
      <c r="A60" s="95" t="s">
        <v>401</v>
      </c>
      <c r="I60" s="70"/>
    </row>
    <row r="61" spans="1:9" ht="12.75">
      <c r="A61" s="95" t="s">
        <v>15</v>
      </c>
      <c r="I61" s="70"/>
    </row>
    <row r="62" ht="12.75">
      <c r="J62" s="96">
        <v>-0.9067254999999932</v>
      </c>
    </row>
    <row r="64" spans="6:11" ht="12.75">
      <c r="F64" s="96"/>
      <c r="K64" s="96">
        <v>-0.49861550000969146</v>
      </c>
    </row>
  </sheetData>
  <sheetProtection/>
  <printOptions horizontalCentered="1"/>
  <pageMargins left="0.5511811023622047" right="0.5511811023622047" top="0.78" bottom="0.6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SheetLayoutView="100" workbookViewId="0" topLeftCell="A4">
      <pane xSplit="1" ySplit="9" topLeftCell="B13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1" sqref="A41"/>
    </sheetView>
  </sheetViews>
  <sheetFormatPr defaultColWidth="9.33203125" defaultRowHeight="12.75"/>
  <cols>
    <col min="1" max="1" width="37.33203125" style="84" customWidth="1"/>
    <col min="2" max="2" width="11.5" style="84" customWidth="1"/>
    <col min="3" max="4" width="9.5" style="84" bestFit="1" customWidth="1"/>
    <col min="5" max="5" width="13.33203125" style="84" customWidth="1"/>
    <col min="6" max="6" width="11.33203125" style="84" bestFit="1" customWidth="1"/>
    <col min="7" max="7" width="11.83203125" style="84" customWidth="1"/>
    <col min="8" max="8" width="10.83203125" style="84" bestFit="1" customWidth="1"/>
    <col min="9" max="16384" width="9.33203125" style="84" customWidth="1"/>
  </cols>
  <sheetData>
    <row r="1" ht="12.75">
      <c r="A1" s="79" t="s">
        <v>374</v>
      </c>
    </row>
    <row r="2" ht="13.5">
      <c r="A2" s="85" t="s">
        <v>281</v>
      </c>
    </row>
    <row r="3" ht="12.75">
      <c r="A3" s="79"/>
    </row>
    <row r="4" ht="12.75">
      <c r="A4" s="79" t="s">
        <v>172</v>
      </c>
    </row>
    <row r="5" ht="12.75">
      <c r="A5" s="79" t="s">
        <v>464</v>
      </c>
    </row>
    <row r="6" ht="12.75">
      <c r="A6" s="79" t="s">
        <v>170</v>
      </c>
    </row>
    <row r="8" spans="2:6" ht="12.75">
      <c r="B8" s="179"/>
      <c r="C8" s="180" t="s">
        <v>61</v>
      </c>
      <c r="D8" s="180"/>
      <c r="E8" s="181"/>
      <c r="F8" s="197"/>
    </row>
    <row r="9" spans="3:4" ht="4.5" customHeight="1">
      <c r="C9" s="88"/>
      <c r="D9" s="88"/>
    </row>
    <row r="10" spans="2:8" ht="12.75">
      <c r="B10" s="88" t="s">
        <v>173</v>
      </c>
      <c r="C10" s="88" t="s">
        <v>175</v>
      </c>
      <c r="D10" s="88" t="s">
        <v>174</v>
      </c>
      <c r="E10" s="88" t="s">
        <v>178</v>
      </c>
      <c r="F10" s="88" t="s">
        <v>219</v>
      </c>
      <c r="G10" s="88" t="s">
        <v>26</v>
      </c>
      <c r="H10" s="88" t="s">
        <v>219</v>
      </c>
    </row>
    <row r="11" spans="2:8" ht="12.75">
      <c r="B11" s="88" t="s">
        <v>174</v>
      </c>
      <c r="C11" s="88" t="s">
        <v>176</v>
      </c>
      <c r="D11" s="88" t="s">
        <v>177</v>
      </c>
      <c r="E11" s="88" t="s">
        <v>254</v>
      </c>
      <c r="F11" s="88"/>
      <c r="G11" s="88" t="s">
        <v>6</v>
      </c>
      <c r="H11" s="88" t="s">
        <v>27</v>
      </c>
    </row>
    <row r="12" spans="2:8" ht="12.75">
      <c r="B12" s="88" t="s">
        <v>412</v>
      </c>
      <c r="C12" s="88" t="s">
        <v>412</v>
      </c>
      <c r="D12" s="88" t="s">
        <v>412</v>
      </c>
      <c r="E12" s="88" t="s">
        <v>412</v>
      </c>
      <c r="F12" s="88" t="s">
        <v>412</v>
      </c>
      <c r="G12" s="88" t="s">
        <v>412</v>
      </c>
      <c r="H12" s="88" t="s">
        <v>412</v>
      </c>
    </row>
    <row r="13" spans="1:8" ht="12.75">
      <c r="A13" s="84" t="s">
        <v>7</v>
      </c>
      <c r="B13" s="88"/>
      <c r="C13" s="88"/>
      <c r="D13" s="88"/>
      <c r="E13" s="88"/>
      <c r="F13" s="88"/>
      <c r="G13" s="88"/>
      <c r="H13" s="88"/>
    </row>
    <row r="14" spans="1:8" ht="12.75">
      <c r="A14" s="198" t="s">
        <v>460</v>
      </c>
      <c r="B14" s="88"/>
      <c r="C14" s="88"/>
      <c r="D14" s="88"/>
      <c r="E14" s="88"/>
      <c r="F14" s="88"/>
      <c r="G14" s="88"/>
      <c r="H14" s="88"/>
    </row>
    <row r="16" spans="1:8" ht="12.75">
      <c r="A16" s="84" t="s">
        <v>196</v>
      </c>
      <c r="B16" s="74">
        <f>+B59</f>
        <v>139330</v>
      </c>
      <c r="C16" s="74">
        <f>+C59</f>
        <v>9008</v>
      </c>
      <c r="D16" s="74">
        <f>+D59</f>
        <v>2704</v>
      </c>
      <c r="E16" s="74">
        <f>+E59</f>
        <v>-123500</v>
      </c>
      <c r="F16" s="74">
        <f>SUM(B16:E16)</f>
        <v>27542</v>
      </c>
      <c r="G16" s="74">
        <v>0</v>
      </c>
      <c r="H16" s="74">
        <f>SUM(F16:G16)</f>
        <v>27542</v>
      </c>
    </row>
    <row r="17" spans="2:8" ht="12.75">
      <c r="B17" s="74"/>
      <c r="C17" s="74"/>
      <c r="D17" s="243"/>
      <c r="E17" s="74"/>
      <c r="F17" s="74"/>
      <c r="G17" s="74"/>
      <c r="H17" s="74"/>
    </row>
    <row r="18" spans="1:8" ht="12.75">
      <c r="A18" s="84" t="s">
        <v>249</v>
      </c>
      <c r="B18" s="74"/>
      <c r="C18" s="74"/>
      <c r="D18" s="243"/>
      <c r="E18" s="74"/>
      <c r="F18" s="74"/>
      <c r="G18" s="74"/>
      <c r="H18" s="74"/>
    </row>
    <row r="19" spans="1:8" ht="12.75">
      <c r="A19" s="84" t="s">
        <v>63</v>
      </c>
      <c r="B19" s="263">
        <f>4-1</f>
        <v>3</v>
      </c>
      <c r="C19" s="266">
        <v>0</v>
      </c>
      <c r="D19" s="266">
        <v>0</v>
      </c>
      <c r="E19" s="266">
        <v>0</v>
      </c>
      <c r="F19" s="266">
        <f>SUM(B19:E19)</f>
        <v>3</v>
      </c>
      <c r="G19" s="74">
        <v>0</v>
      </c>
      <c r="H19" s="74">
        <f>SUM(F19:G19)</f>
        <v>3</v>
      </c>
    </row>
    <row r="20" spans="2:8" ht="12.75">
      <c r="B20" s="266"/>
      <c r="C20" s="266"/>
      <c r="D20" s="266"/>
      <c r="E20" s="266"/>
      <c r="F20" s="266"/>
      <c r="G20" s="74"/>
      <c r="H20" s="74"/>
    </row>
    <row r="21" spans="1:8" ht="12.75" hidden="1">
      <c r="A21" s="84" t="s">
        <v>223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/>
      <c r="H21" s="74"/>
    </row>
    <row r="22" spans="2:8" ht="12.75" hidden="1">
      <c r="B22" s="74"/>
      <c r="C22" s="74"/>
      <c r="D22" s="74"/>
      <c r="E22" s="74"/>
      <c r="F22" s="74"/>
      <c r="G22" s="74"/>
      <c r="H22" s="74"/>
    </row>
    <row r="23" spans="1:8" ht="12.75" hidden="1">
      <c r="A23" s="84" t="s">
        <v>224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/>
      <c r="H23" s="74"/>
    </row>
    <row r="24" spans="2:8" ht="12.75" hidden="1">
      <c r="B24" s="74"/>
      <c r="C24" s="74"/>
      <c r="D24" s="74"/>
      <c r="E24" s="74"/>
      <c r="F24" s="74"/>
      <c r="G24" s="74"/>
      <c r="H24" s="74"/>
    </row>
    <row r="25" spans="1:8" ht="12.75">
      <c r="A25" s="84" t="s">
        <v>250</v>
      </c>
      <c r="B25" s="74">
        <f>-111467</f>
        <v>-111467</v>
      </c>
      <c r="C25" s="84">
        <v>0</v>
      </c>
      <c r="D25" s="74">
        <v>0</v>
      </c>
      <c r="E25" s="74">
        <f>111467</f>
        <v>111467</v>
      </c>
      <c r="F25" s="74">
        <f>SUM(B25:E25)</f>
        <v>0</v>
      </c>
      <c r="G25" s="74">
        <v>0</v>
      </c>
      <c r="H25" s="74">
        <f>SUM(F25:G25)</f>
        <v>0</v>
      </c>
    </row>
    <row r="26" spans="2:8" ht="12.75">
      <c r="B26" s="74"/>
      <c r="C26" s="91"/>
      <c r="D26" s="74"/>
      <c r="E26" s="74"/>
      <c r="F26" s="74"/>
      <c r="G26" s="74"/>
      <c r="H26" s="74"/>
    </row>
    <row r="27" spans="1:8" ht="12.75" hidden="1">
      <c r="A27" s="84" t="s">
        <v>386</v>
      </c>
      <c r="B27" s="74">
        <v>0</v>
      </c>
      <c r="C27" s="91">
        <v>0</v>
      </c>
      <c r="D27" s="74">
        <v>0</v>
      </c>
      <c r="E27" s="74">
        <v>0</v>
      </c>
      <c r="F27" s="74">
        <v>0</v>
      </c>
      <c r="G27" s="74"/>
      <c r="H27" s="74"/>
    </row>
    <row r="28" spans="1:8" ht="12.75">
      <c r="A28" s="84" t="s">
        <v>251</v>
      </c>
      <c r="B28" s="74"/>
      <c r="C28" s="91"/>
      <c r="D28" s="74"/>
      <c r="E28" s="74"/>
      <c r="F28" s="74"/>
      <c r="G28" s="74"/>
      <c r="H28" s="74"/>
    </row>
    <row r="29" spans="1:8" ht="12.75">
      <c r="A29" s="84" t="s">
        <v>252</v>
      </c>
      <c r="B29" s="74">
        <v>0</v>
      </c>
      <c r="C29" s="74">
        <v>-9008</v>
      </c>
      <c r="D29" s="74">
        <v>0</v>
      </c>
      <c r="E29" s="74">
        <v>9008</v>
      </c>
      <c r="F29" s="74">
        <f>SUM(B29:E29)</f>
        <v>0</v>
      </c>
      <c r="G29" s="74">
        <v>0</v>
      </c>
      <c r="H29" s="74">
        <f>SUM(F29:G29)</f>
        <v>0</v>
      </c>
    </row>
    <row r="30" spans="2:8" ht="12.75">
      <c r="B30" s="74"/>
      <c r="C30" s="91"/>
      <c r="D30" s="74"/>
      <c r="E30" s="74"/>
      <c r="F30" s="74"/>
      <c r="G30" s="74"/>
      <c r="H30" s="74"/>
    </row>
    <row r="31" spans="1:8" ht="12.75">
      <c r="A31" s="84" t="s">
        <v>452</v>
      </c>
      <c r="B31" s="74"/>
      <c r="C31" s="74"/>
      <c r="D31" s="74"/>
      <c r="E31" s="74"/>
      <c r="F31" s="74"/>
      <c r="G31" s="74"/>
      <c r="H31" s="74"/>
    </row>
    <row r="32" spans="1:8" ht="12.75">
      <c r="A32" s="84" t="s">
        <v>253</v>
      </c>
      <c r="B32" s="74">
        <v>69667</v>
      </c>
      <c r="C32" s="74">
        <v>0</v>
      </c>
      <c r="D32" s="74">
        <v>0</v>
      </c>
      <c r="E32" s="74">
        <v>0</v>
      </c>
      <c r="F32" s="74">
        <f>SUM(B32:E32)</f>
        <v>69667</v>
      </c>
      <c r="G32" s="74">
        <v>0</v>
      </c>
      <c r="H32" s="74">
        <f>SUM(F32:G32)</f>
        <v>69667</v>
      </c>
    </row>
    <row r="33" spans="2:8" ht="12.75">
      <c r="B33" s="74"/>
      <c r="C33" s="74"/>
      <c r="D33" s="74"/>
      <c r="E33" s="74"/>
      <c r="F33" s="74"/>
      <c r="G33" s="74"/>
      <c r="H33" s="74"/>
    </row>
    <row r="34" spans="1:8" ht="38.25">
      <c r="A34" s="245" t="s">
        <v>66</v>
      </c>
      <c r="B34" s="74">
        <v>0</v>
      </c>
      <c r="C34" s="74">
        <v>0</v>
      </c>
      <c r="D34" s="84">
        <v>0</v>
      </c>
      <c r="E34" s="126">
        <v>23842</v>
      </c>
      <c r="F34" s="74">
        <f>SUM(B34:E34)</f>
        <v>23842</v>
      </c>
      <c r="G34" s="74">
        <v>0</v>
      </c>
      <c r="H34" s="74">
        <f>SUM(F34:G34)</f>
        <v>23842</v>
      </c>
    </row>
    <row r="35" spans="2:8" ht="12.75" hidden="1">
      <c r="B35" s="74"/>
      <c r="C35" s="74"/>
      <c r="D35" s="74"/>
      <c r="E35" s="126"/>
      <c r="F35" s="74"/>
      <c r="G35" s="74"/>
      <c r="H35" s="74"/>
    </row>
    <row r="36" spans="1:8" ht="12.75" hidden="1">
      <c r="A36" s="84" t="s">
        <v>46</v>
      </c>
      <c r="B36" s="74">
        <v>0</v>
      </c>
      <c r="C36" s="74">
        <v>0</v>
      </c>
      <c r="D36" s="74">
        <v>0</v>
      </c>
      <c r="E36" s="126">
        <v>0</v>
      </c>
      <c r="F36" s="74">
        <v>0</v>
      </c>
      <c r="G36" s="74">
        <v>0</v>
      </c>
      <c r="H36" s="74">
        <v>0</v>
      </c>
    </row>
    <row r="37" spans="1:8" ht="12.75" hidden="1">
      <c r="A37" s="100"/>
      <c r="B37" s="74"/>
      <c r="C37" s="74"/>
      <c r="D37" s="74"/>
      <c r="E37" s="126"/>
      <c r="F37" s="74"/>
      <c r="G37" s="74"/>
      <c r="H37" s="74"/>
    </row>
    <row r="38" spans="2:8" ht="12.75">
      <c r="B38" s="74"/>
      <c r="C38" s="74"/>
      <c r="D38" s="74"/>
      <c r="E38" s="74"/>
      <c r="F38" s="74"/>
      <c r="G38" s="74"/>
      <c r="H38" s="74"/>
    </row>
    <row r="39" spans="1:8" ht="13.5" thickBot="1">
      <c r="A39" s="84" t="s">
        <v>461</v>
      </c>
      <c r="B39" s="118">
        <f aca="true" t="shared" si="0" ref="B39:H39">SUM(B16:B34)</f>
        <v>97533</v>
      </c>
      <c r="C39" s="118">
        <f t="shared" si="0"/>
        <v>0</v>
      </c>
      <c r="D39" s="118">
        <f t="shared" si="0"/>
        <v>2704</v>
      </c>
      <c r="E39" s="118">
        <f t="shared" si="0"/>
        <v>20817</v>
      </c>
      <c r="F39" s="118">
        <f t="shared" si="0"/>
        <v>121054</v>
      </c>
      <c r="G39" s="118">
        <f t="shared" si="0"/>
        <v>0</v>
      </c>
      <c r="H39" s="267">
        <f t="shared" si="0"/>
        <v>121054</v>
      </c>
    </row>
    <row r="40" spans="2:8" ht="12.75">
      <c r="B40" s="74"/>
      <c r="C40" s="74"/>
      <c r="D40" s="74"/>
      <c r="E40" s="74"/>
      <c r="F40" s="74"/>
      <c r="G40" s="74"/>
      <c r="H40" s="74"/>
    </row>
    <row r="41" spans="2:8" ht="12.75">
      <c r="B41" s="74"/>
      <c r="C41" s="74"/>
      <c r="D41" s="74"/>
      <c r="E41" s="74"/>
      <c r="F41" s="74"/>
      <c r="G41" s="74"/>
      <c r="H41" s="74"/>
    </row>
    <row r="42" spans="1:8" ht="12.75">
      <c r="A42" s="84" t="s">
        <v>7</v>
      </c>
      <c r="B42" s="88"/>
      <c r="C42" s="88"/>
      <c r="D42" s="88"/>
      <c r="E42" s="88"/>
      <c r="F42" s="88"/>
      <c r="G42" s="88"/>
      <c r="H42" s="88"/>
    </row>
    <row r="43" spans="1:8" ht="12.75">
      <c r="A43" s="198" t="s">
        <v>462</v>
      </c>
      <c r="B43" s="88"/>
      <c r="C43" s="88"/>
      <c r="D43" s="88"/>
      <c r="E43" s="88"/>
      <c r="F43" s="88"/>
      <c r="G43" s="88"/>
      <c r="H43" s="88"/>
    </row>
    <row r="45" spans="1:8" ht="12.75">
      <c r="A45" s="84" t="s">
        <v>197</v>
      </c>
      <c r="B45" s="74">
        <v>139330</v>
      </c>
      <c r="C45" s="74">
        <v>9008</v>
      </c>
      <c r="D45" s="74">
        <v>2900</v>
      </c>
      <c r="E45" s="74">
        <v>-127519</v>
      </c>
      <c r="F45" s="74">
        <v>23719</v>
      </c>
      <c r="G45" s="74">
        <v>566</v>
      </c>
      <c r="H45" s="74">
        <v>24285</v>
      </c>
    </row>
    <row r="46" spans="2:8" ht="12.75">
      <c r="B46" s="74"/>
      <c r="C46" s="74"/>
      <c r="D46" s="74"/>
      <c r="E46" s="74"/>
      <c r="F46" s="74"/>
      <c r="G46" s="74"/>
      <c r="H46" s="74"/>
    </row>
    <row r="47" spans="1:8" ht="12.75" hidden="1">
      <c r="A47" s="84" t="s">
        <v>223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/>
      <c r="H47" s="74"/>
    </row>
    <row r="48" spans="2:8" ht="12.75" hidden="1">
      <c r="B48" s="74"/>
      <c r="C48" s="74"/>
      <c r="D48" s="74"/>
      <c r="E48" s="74"/>
      <c r="F48" s="74"/>
      <c r="G48" s="74"/>
      <c r="H48" s="74"/>
    </row>
    <row r="49" spans="1:8" ht="12.75" hidden="1">
      <c r="A49" s="84" t="s">
        <v>224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/>
      <c r="H49" s="74"/>
    </row>
    <row r="50" spans="2:8" ht="12.75" hidden="1">
      <c r="B50" s="74"/>
      <c r="C50" s="91"/>
      <c r="D50" s="74"/>
      <c r="E50" s="74"/>
      <c r="F50" s="74"/>
      <c r="G50" s="74"/>
      <c r="H50" s="74"/>
    </row>
    <row r="51" spans="1:8" ht="12.75" hidden="1">
      <c r="A51" s="84" t="s">
        <v>386</v>
      </c>
      <c r="B51" s="74">
        <v>0</v>
      </c>
      <c r="C51" s="91">
        <v>0</v>
      </c>
      <c r="D51" s="74">
        <v>0</v>
      </c>
      <c r="E51" s="74">
        <v>0</v>
      </c>
      <c r="F51" s="74">
        <v>0</v>
      </c>
      <c r="G51" s="74"/>
      <c r="H51" s="74"/>
    </row>
    <row r="52" spans="2:8" ht="12.75" hidden="1">
      <c r="B52" s="74"/>
      <c r="C52" s="74"/>
      <c r="D52" s="74"/>
      <c r="E52" s="74"/>
      <c r="F52" s="74"/>
      <c r="G52" s="74"/>
      <c r="H52" s="74"/>
    </row>
    <row r="53" spans="1:8" ht="38.25">
      <c r="A53" s="245" t="s">
        <v>66</v>
      </c>
      <c r="B53" s="74">
        <v>0</v>
      </c>
      <c r="C53" s="74">
        <v>0</v>
      </c>
      <c r="D53" s="84">
        <v>0</v>
      </c>
      <c r="E53" s="126">
        <v>4019</v>
      </c>
      <c r="F53" s="74">
        <v>4019</v>
      </c>
      <c r="G53" s="74">
        <v>-72</v>
      </c>
      <c r="H53" s="74">
        <f>SUM(F53:G53)</f>
        <v>3947</v>
      </c>
    </row>
    <row r="54" spans="2:8" ht="12.75">
      <c r="B54" s="74"/>
      <c r="C54" s="74"/>
      <c r="D54" s="74"/>
      <c r="E54" s="126"/>
      <c r="F54" s="74"/>
      <c r="G54" s="74"/>
      <c r="H54" s="74"/>
    </row>
    <row r="55" spans="1:8" ht="12.75">
      <c r="A55" s="188" t="s">
        <v>46</v>
      </c>
      <c r="B55" s="74">
        <v>0</v>
      </c>
      <c r="C55" s="74">
        <v>0</v>
      </c>
      <c r="D55" s="74">
        <v>-196</v>
      </c>
      <c r="E55" s="126">
        <v>0</v>
      </c>
      <c r="F55" s="74">
        <v>-196</v>
      </c>
      <c r="G55" s="74">
        <v>-494</v>
      </c>
      <c r="H55" s="74">
        <v>-690</v>
      </c>
    </row>
    <row r="56" spans="1:8" ht="12.75" hidden="1">
      <c r="A56" s="100"/>
      <c r="B56" s="74"/>
      <c r="C56" s="74"/>
      <c r="D56" s="74"/>
      <c r="E56" s="126"/>
      <c r="F56" s="74"/>
      <c r="G56" s="74"/>
      <c r="H56" s="74"/>
    </row>
    <row r="57" spans="1:8" ht="12.75" hidden="1">
      <c r="A57" s="84" t="s">
        <v>141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/>
      <c r="H57" s="74"/>
    </row>
    <row r="58" spans="2:8" ht="12.75">
      <c r="B58" s="74"/>
      <c r="C58" s="74"/>
      <c r="D58" s="74"/>
      <c r="E58" s="74"/>
      <c r="F58" s="74"/>
      <c r="G58" s="74"/>
      <c r="H58" s="74"/>
    </row>
    <row r="59" spans="1:8" ht="13.5" thickBot="1">
      <c r="A59" s="84" t="s">
        <v>463</v>
      </c>
      <c r="B59" s="118">
        <f aca="true" t="shared" si="1" ref="B59:H59">SUM(B45:B58)</f>
        <v>139330</v>
      </c>
      <c r="C59" s="118">
        <f t="shared" si="1"/>
        <v>9008</v>
      </c>
      <c r="D59" s="118">
        <f t="shared" si="1"/>
        <v>2704</v>
      </c>
      <c r="E59" s="118">
        <f t="shared" si="1"/>
        <v>-123500</v>
      </c>
      <c r="F59" s="118">
        <f t="shared" si="1"/>
        <v>27542</v>
      </c>
      <c r="G59" s="118">
        <f t="shared" si="1"/>
        <v>0</v>
      </c>
      <c r="H59" s="118">
        <f t="shared" si="1"/>
        <v>27542</v>
      </c>
    </row>
    <row r="60" spans="2:8" ht="12.75">
      <c r="B60" s="74"/>
      <c r="C60" s="74"/>
      <c r="D60" s="74"/>
      <c r="E60" s="74"/>
      <c r="F60" s="74"/>
      <c r="G60" s="74"/>
      <c r="H60" s="74"/>
    </row>
    <row r="61" spans="2:8" ht="12.75">
      <c r="B61" s="74"/>
      <c r="C61" s="74"/>
      <c r="D61" s="74"/>
      <c r="E61" s="74"/>
      <c r="F61" s="74"/>
      <c r="G61" s="74"/>
      <c r="H61" s="74"/>
    </row>
    <row r="62" spans="2:8" ht="12.75">
      <c r="B62" s="74"/>
      <c r="C62" s="74"/>
      <c r="D62" s="74"/>
      <c r="E62" s="74"/>
      <c r="F62" s="74"/>
      <c r="G62" s="74"/>
      <c r="H62" s="74"/>
    </row>
    <row r="63" spans="2:8" ht="12.75">
      <c r="B63" s="74"/>
      <c r="C63" s="74"/>
      <c r="D63" s="74"/>
      <c r="E63" s="74"/>
      <c r="F63" s="74"/>
      <c r="G63" s="74"/>
      <c r="H63" s="74"/>
    </row>
    <row r="64" spans="2:8" ht="12.75">
      <c r="B64" s="74"/>
      <c r="C64" s="74"/>
      <c r="D64" s="74"/>
      <c r="E64" s="74"/>
      <c r="F64" s="74"/>
      <c r="G64" s="74"/>
      <c r="H64" s="74"/>
    </row>
    <row r="65" spans="2:8" ht="12.75">
      <c r="B65" s="74"/>
      <c r="C65" s="74"/>
      <c r="D65" s="74"/>
      <c r="E65" s="74"/>
      <c r="F65" s="74"/>
      <c r="G65" s="74"/>
      <c r="H65" s="74"/>
    </row>
    <row r="66" spans="1:8" ht="12.75">
      <c r="A66" s="95" t="s">
        <v>166</v>
      </c>
      <c r="B66" s="74"/>
      <c r="C66" s="74"/>
      <c r="D66" s="74"/>
      <c r="E66" s="74"/>
      <c r="F66" s="74"/>
      <c r="G66" s="74"/>
      <c r="H66" s="74"/>
    </row>
    <row r="67" spans="1:8" ht="12.75">
      <c r="A67" s="95" t="s">
        <v>15</v>
      </c>
      <c r="B67" s="74"/>
      <c r="C67" s="74"/>
      <c r="D67" s="74"/>
      <c r="E67" s="74"/>
      <c r="F67" s="74"/>
      <c r="G67" s="74"/>
      <c r="H67" s="74"/>
    </row>
    <row r="70" s="205" customFormat="1" ht="13.5" thickBot="1"/>
  </sheetData>
  <sheetProtection/>
  <printOptions horizont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Z93"/>
  <sheetViews>
    <sheetView workbookViewId="0" topLeftCell="A20">
      <selection activeCell="G2" sqref="G2"/>
    </sheetView>
  </sheetViews>
  <sheetFormatPr defaultColWidth="9.33203125" defaultRowHeight="12.75"/>
  <cols>
    <col min="1" max="1" width="21.16015625" style="0" customWidth="1"/>
    <col min="2" max="2" width="9.83203125" style="0" customWidth="1"/>
    <col min="3" max="3" width="14.33203125" style="0" customWidth="1"/>
    <col min="4" max="4" width="9.83203125" style="0" customWidth="1"/>
    <col min="5" max="5" width="13.5" style="0" customWidth="1"/>
    <col min="6" max="6" width="3.33203125" style="0" customWidth="1"/>
    <col min="7" max="7" width="16.33203125" style="0" customWidth="1"/>
    <col min="8" max="8" width="11.16015625" style="0" customWidth="1"/>
    <col min="9" max="9" width="10.83203125" style="0" bestFit="1" customWidth="1"/>
    <col min="10" max="10" width="13.66015625" style="0" customWidth="1"/>
    <col min="11" max="11" width="11.83203125" style="0" customWidth="1"/>
    <col min="13" max="13" width="11.5" style="0" customWidth="1"/>
    <col min="14" max="14" width="1.83203125" style="0" customWidth="1"/>
    <col min="15" max="15" width="14.83203125" style="0" customWidth="1"/>
    <col min="16" max="16" width="12" style="0" customWidth="1"/>
    <col min="17" max="17" width="1.66796875" style="0" customWidth="1"/>
    <col min="18" max="18" width="12.5" style="0" bestFit="1" customWidth="1"/>
    <col min="19" max="19" width="12.66015625" style="0" bestFit="1" customWidth="1"/>
    <col min="20" max="20" width="10.5" style="0" customWidth="1"/>
    <col min="22" max="22" width="11.33203125" style="0" customWidth="1"/>
    <col min="23" max="23" width="1.171875" style="0" customWidth="1"/>
    <col min="24" max="25" width="12.5" style="0" bestFit="1" customWidth="1"/>
  </cols>
  <sheetData>
    <row r="1" spans="1:7" ht="12.75">
      <c r="A1" s="70" t="s">
        <v>341</v>
      </c>
      <c r="G1" s="70" t="s">
        <v>341</v>
      </c>
    </row>
    <row r="2" ht="13.5" thickBot="1">
      <c r="G2" s="70" t="s">
        <v>342</v>
      </c>
    </row>
    <row r="3" spans="1:16" ht="12.75">
      <c r="A3" s="70" t="s">
        <v>342</v>
      </c>
      <c r="G3" s="217"/>
      <c r="H3" s="218"/>
      <c r="I3" s="218"/>
      <c r="J3" s="218"/>
      <c r="K3" s="218"/>
      <c r="L3" s="218"/>
      <c r="M3" s="218"/>
      <c r="N3" s="218"/>
      <c r="O3" s="218"/>
      <c r="P3" s="219"/>
    </row>
    <row r="4" spans="7:16" ht="12.75">
      <c r="G4" s="220" t="s">
        <v>343</v>
      </c>
      <c r="H4" s="189"/>
      <c r="I4" s="189"/>
      <c r="J4" s="189"/>
      <c r="K4" s="189"/>
      <c r="L4" s="189"/>
      <c r="M4" s="189"/>
      <c r="N4" s="189"/>
      <c r="O4" s="189"/>
      <c r="P4" s="221"/>
    </row>
    <row r="5" spans="3:16" s="143" customFormat="1" ht="12.75" hidden="1">
      <c r="C5" s="163">
        <v>38142</v>
      </c>
      <c r="D5" s="163">
        <v>37775</v>
      </c>
      <c r="E5" s="163">
        <v>37410</v>
      </c>
      <c r="F5" s="163"/>
      <c r="G5" s="222">
        <v>37045</v>
      </c>
      <c r="H5" s="223">
        <v>36680</v>
      </c>
      <c r="I5" s="224"/>
      <c r="J5" s="224"/>
      <c r="K5" s="224"/>
      <c r="L5" s="224"/>
      <c r="M5" s="224"/>
      <c r="N5" s="224"/>
      <c r="O5" s="224"/>
      <c r="P5" s="225"/>
    </row>
    <row r="6" spans="3:16" ht="12.75" hidden="1">
      <c r="C6" s="164" t="s">
        <v>412</v>
      </c>
      <c r="D6" s="164" t="s">
        <v>412</v>
      </c>
      <c r="E6" s="164" t="s">
        <v>412</v>
      </c>
      <c r="F6" s="164"/>
      <c r="G6" s="226" t="s">
        <v>412</v>
      </c>
      <c r="H6" s="227" t="s">
        <v>412</v>
      </c>
      <c r="I6" s="189"/>
      <c r="J6" s="189"/>
      <c r="K6" s="189"/>
      <c r="L6" s="189"/>
      <c r="M6" s="189"/>
      <c r="N6" s="189"/>
      <c r="O6" s="189"/>
      <c r="P6" s="221"/>
    </row>
    <row r="7" spans="7:16" ht="12.75" hidden="1">
      <c r="G7" s="228"/>
      <c r="H7" s="189"/>
      <c r="I7" s="189"/>
      <c r="J7" s="189"/>
      <c r="K7" s="189"/>
      <c r="L7" s="189"/>
      <c r="M7" s="189"/>
      <c r="N7" s="189"/>
      <c r="O7" s="189"/>
      <c r="P7" s="221"/>
    </row>
    <row r="8" spans="1:16" s="80" customFormat="1" ht="12.75" hidden="1">
      <c r="A8" s="80" t="s">
        <v>398</v>
      </c>
      <c r="C8" s="80">
        <v>-10888</v>
      </c>
      <c r="D8" s="80">
        <v>-7781</v>
      </c>
      <c r="E8" s="80">
        <v>-8916</v>
      </c>
      <c r="G8" s="208"/>
      <c r="H8" s="121"/>
      <c r="I8" s="121"/>
      <c r="J8" s="121"/>
      <c r="K8" s="121"/>
      <c r="L8" s="121"/>
      <c r="M8" s="121"/>
      <c r="N8" s="121"/>
      <c r="O8" s="121"/>
      <c r="P8" s="212"/>
    </row>
    <row r="9" spans="1:16" s="80" customFormat="1" ht="12.75" hidden="1">
      <c r="A9" s="80" t="s">
        <v>343</v>
      </c>
      <c r="C9" s="82">
        <v>-27966</v>
      </c>
      <c r="D9" s="82">
        <v>-11381</v>
      </c>
      <c r="E9" s="82">
        <v>-6211</v>
      </c>
      <c r="F9" s="82"/>
      <c r="G9" s="229"/>
      <c r="H9" s="82"/>
      <c r="I9" s="121"/>
      <c r="J9" s="121"/>
      <c r="K9" s="121"/>
      <c r="L9" s="121"/>
      <c r="M9" s="121"/>
      <c r="N9" s="121"/>
      <c r="O9" s="121"/>
      <c r="P9" s="212"/>
    </row>
    <row r="10" spans="3:16" s="80" customFormat="1" ht="12.75" hidden="1">
      <c r="C10" s="80">
        <f>SUM(C8:C9)</f>
        <v>-38854</v>
      </c>
      <c r="D10" s="80">
        <f>SUM(D8:D9)</f>
        <v>-19162</v>
      </c>
      <c r="E10" s="80">
        <f>SUM(E8:E9)</f>
        <v>-15127</v>
      </c>
      <c r="G10" s="208">
        <f>SUM(G8:G9)</f>
        <v>0</v>
      </c>
      <c r="H10" s="121">
        <f>SUM(H8:H9)</f>
        <v>0</v>
      </c>
      <c r="I10" s="121"/>
      <c r="J10" s="121"/>
      <c r="K10" s="121"/>
      <c r="L10" s="121"/>
      <c r="M10" s="121"/>
      <c r="N10" s="121"/>
      <c r="O10" s="121"/>
      <c r="P10" s="212"/>
    </row>
    <row r="11" spans="1:16" s="80" customFormat="1" ht="12.75" hidden="1">
      <c r="A11" s="80" t="s">
        <v>45</v>
      </c>
      <c r="G11" s="208"/>
      <c r="H11" s="121"/>
      <c r="I11" s="121"/>
      <c r="J11" s="121"/>
      <c r="K11" s="121"/>
      <c r="L11" s="121"/>
      <c r="M11" s="121"/>
      <c r="N11" s="121"/>
      <c r="O11" s="121"/>
      <c r="P11" s="212"/>
    </row>
    <row r="12" spans="3:16" s="80" customFormat="1" ht="13.5" hidden="1" thickBot="1">
      <c r="C12" s="144">
        <f>SUM(C10:C11)</f>
        <v>-38854</v>
      </c>
      <c r="D12" s="144">
        <f>SUM(D10:D11)</f>
        <v>-19162</v>
      </c>
      <c r="E12" s="144">
        <f>SUM(E10:E11)</f>
        <v>-15127</v>
      </c>
      <c r="F12" s="144"/>
      <c r="G12" s="230">
        <f>SUM(G10:G11)</f>
        <v>0</v>
      </c>
      <c r="H12" s="144">
        <f>SUM(H10:H11)</f>
        <v>0</v>
      </c>
      <c r="I12" s="121"/>
      <c r="J12" s="121"/>
      <c r="K12" s="121"/>
      <c r="L12" s="121"/>
      <c r="M12" s="121"/>
      <c r="N12" s="121"/>
      <c r="O12" s="121"/>
      <c r="P12" s="212"/>
    </row>
    <row r="13" spans="7:16" s="80" customFormat="1" ht="12.75" hidden="1">
      <c r="G13" s="208"/>
      <c r="H13" s="121"/>
      <c r="I13" s="121"/>
      <c r="J13" s="121"/>
      <c r="K13" s="121"/>
      <c r="L13" s="121"/>
      <c r="M13" s="121"/>
      <c r="N13" s="121"/>
      <c r="O13" s="121"/>
      <c r="P13" s="212"/>
    </row>
    <row r="14" spans="3:16" s="80" customFormat="1" ht="12.75">
      <c r="C14" s="142" t="s">
        <v>398</v>
      </c>
      <c r="D14" s="142"/>
      <c r="E14" s="142" t="s">
        <v>343</v>
      </c>
      <c r="F14" s="142"/>
      <c r="G14" s="231" t="s">
        <v>305</v>
      </c>
      <c r="H14" s="121" t="e">
        <f>+#REF!</f>
        <v>#REF!</v>
      </c>
      <c r="I14" s="121"/>
      <c r="J14" s="121"/>
      <c r="K14" s="121"/>
      <c r="L14" s="121"/>
      <c r="M14" s="121"/>
      <c r="N14" s="121"/>
      <c r="O14" s="121"/>
      <c r="P14" s="212"/>
    </row>
    <row r="15" spans="1:16" s="80" customFormat="1" ht="13.5" thickBot="1">
      <c r="A15" s="80" t="s">
        <v>305</v>
      </c>
      <c r="C15" s="80" t="e">
        <f>+#REF!</f>
        <v>#REF!</v>
      </c>
      <c r="E15" s="80" t="e">
        <f>+#REF!</f>
        <v>#REF!</v>
      </c>
      <c r="G15" s="232" t="s">
        <v>351</v>
      </c>
      <c r="H15" s="216" t="e">
        <f>+#REF!</f>
        <v>#REF!</v>
      </c>
      <c r="I15" s="121"/>
      <c r="J15" s="121"/>
      <c r="K15" s="121"/>
      <c r="L15" s="121"/>
      <c r="M15" s="121"/>
      <c r="N15" s="121"/>
      <c r="O15" s="121"/>
      <c r="P15" s="212"/>
    </row>
    <row r="16" spans="1:25" s="80" customFormat="1" ht="13.5" thickTop="1">
      <c r="A16" s="80" t="s">
        <v>351</v>
      </c>
      <c r="C16" s="48" t="e">
        <f>+#REF!</f>
        <v>#REF!</v>
      </c>
      <c r="D16" s="48"/>
      <c r="E16" s="48" t="e">
        <f>+#REF!</f>
        <v>#REF!</v>
      </c>
      <c r="F16" s="48"/>
      <c r="G16" s="208"/>
      <c r="H16" s="121"/>
      <c r="I16" s="121"/>
      <c r="J16" s="121" t="s">
        <v>415</v>
      </c>
      <c r="K16" s="121"/>
      <c r="L16" s="121" t="s">
        <v>188</v>
      </c>
      <c r="M16" s="121"/>
      <c r="N16" s="121"/>
      <c r="O16" s="121"/>
      <c r="P16" s="212"/>
      <c r="R16" s="121"/>
      <c r="S16" s="121" t="s">
        <v>415</v>
      </c>
      <c r="T16" s="121"/>
      <c r="U16" s="121" t="s">
        <v>188</v>
      </c>
      <c r="V16" s="121"/>
      <c r="W16" s="121"/>
      <c r="X16" s="121"/>
      <c r="Y16" s="212"/>
    </row>
    <row r="17" spans="7:25" s="80" customFormat="1" ht="12.75">
      <c r="G17" s="208"/>
      <c r="H17" s="121" t="s">
        <v>413</v>
      </c>
      <c r="I17" s="121" t="s">
        <v>414</v>
      </c>
      <c r="J17" s="121" t="s">
        <v>416</v>
      </c>
      <c r="K17" s="121" t="s">
        <v>417</v>
      </c>
      <c r="L17" s="121" t="s">
        <v>405</v>
      </c>
      <c r="M17" s="121" t="s">
        <v>194</v>
      </c>
      <c r="N17" s="121"/>
      <c r="O17" s="121" t="s">
        <v>418</v>
      </c>
      <c r="P17" s="212" t="s">
        <v>419</v>
      </c>
      <c r="R17" s="121" t="s">
        <v>414</v>
      </c>
      <c r="S17" s="121" t="s">
        <v>416</v>
      </c>
      <c r="T17" s="121" t="s">
        <v>417</v>
      </c>
      <c r="U17" s="121" t="s">
        <v>405</v>
      </c>
      <c r="V17" s="121" t="s">
        <v>194</v>
      </c>
      <c r="W17" s="121"/>
      <c r="X17" s="121" t="s">
        <v>418</v>
      </c>
      <c r="Y17" s="212" t="s">
        <v>419</v>
      </c>
    </row>
    <row r="18" spans="1:25" s="80" customFormat="1" ht="12.75">
      <c r="A18" s="80" t="s">
        <v>44</v>
      </c>
      <c r="C18" s="162" t="s">
        <v>344</v>
      </c>
      <c r="E18" s="80" t="s">
        <v>345</v>
      </c>
      <c r="G18" s="233">
        <v>38898</v>
      </c>
      <c r="H18" s="121">
        <f>60700000+17350000-84264260.81</f>
        <v>-6214260.810000002</v>
      </c>
      <c r="I18" s="121">
        <v>8935342.14</v>
      </c>
      <c r="J18" s="121">
        <f>-213370.8+3278+994524</f>
        <v>784431.2</v>
      </c>
      <c r="K18" s="121">
        <f>+I18+J18</f>
        <v>9719773.34</v>
      </c>
      <c r="L18" s="121">
        <v>0</v>
      </c>
      <c r="M18" s="121">
        <v>0</v>
      </c>
      <c r="N18" s="121"/>
      <c r="O18" s="121">
        <f>+K18-L18-M18</f>
        <v>9719773.34</v>
      </c>
      <c r="P18" s="212">
        <v>-93984043.15</v>
      </c>
      <c r="R18" s="121">
        <v>8935342.14</v>
      </c>
      <c r="S18" s="121">
        <f>-213370.8+3278+994524</f>
        <v>784431.2</v>
      </c>
      <c r="T18" s="121">
        <f>+R18+S18</f>
        <v>9719773.34</v>
      </c>
      <c r="U18" s="121">
        <v>0</v>
      </c>
      <c r="V18" s="121">
        <v>0</v>
      </c>
      <c r="W18" s="121"/>
      <c r="X18" s="121">
        <f>+T18-U18-V18</f>
        <v>9719773.34</v>
      </c>
      <c r="Y18" s="212">
        <v>-93984043.15</v>
      </c>
    </row>
    <row r="19" spans="2:16" s="80" customFormat="1" ht="12.75">
      <c r="B19" s="145" t="s">
        <v>30</v>
      </c>
      <c r="C19" s="146">
        <v>-1188400.94</v>
      </c>
      <c r="E19" s="146">
        <v>1033029.21</v>
      </c>
      <c r="F19" s="146"/>
      <c r="G19" s="233">
        <v>38928</v>
      </c>
      <c r="H19" s="121">
        <f>60700000+17350000-83017212.53</f>
        <v>-4967212.530000001</v>
      </c>
      <c r="I19" s="121">
        <v>9855959.12</v>
      </c>
      <c r="J19" s="121">
        <f>-251602.5+3278+1359187</f>
        <v>1110862.5</v>
      </c>
      <c r="K19" s="121">
        <f>+I19+J19</f>
        <v>10966821.62</v>
      </c>
      <c r="L19" s="121">
        <v>0</v>
      </c>
      <c r="M19" s="121">
        <v>0</v>
      </c>
      <c r="N19" s="121"/>
      <c r="O19" s="121">
        <f>+K19-L19-M19</f>
        <v>10966821.62</v>
      </c>
      <c r="P19" s="212">
        <v>-93984034.15</v>
      </c>
    </row>
    <row r="20" spans="2:16" s="80" customFormat="1" ht="12.75">
      <c r="B20" s="145" t="s">
        <v>31</v>
      </c>
      <c r="C20" s="146">
        <v>-1324187.92</v>
      </c>
      <c r="E20" s="146">
        <v>1000068.04</v>
      </c>
      <c r="F20" s="146"/>
      <c r="G20" s="233">
        <v>38960</v>
      </c>
      <c r="H20" s="121">
        <f>60700000+17350000-81668908.15</f>
        <v>-3618908.150000006</v>
      </c>
      <c r="I20" s="121">
        <v>11943814.36</v>
      </c>
      <c r="J20" s="121">
        <f>-553811+3282+928401</f>
        <v>377872</v>
      </c>
      <c r="K20" s="121">
        <f>+I20+J20</f>
        <v>12321686.36</v>
      </c>
      <c r="L20" s="121">
        <v>6560.56</v>
      </c>
      <c r="M20" s="121">
        <v>0</v>
      </c>
      <c r="N20" s="121"/>
      <c r="O20" s="121">
        <f>+K20-L20-M20</f>
        <v>12315125.799999999</v>
      </c>
      <c r="P20" s="212">
        <v>-93984034.15</v>
      </c>
    </row>
    <row r="21" spans="2:16" s="80" customFormat="1" ht="12.75">
      <c r="B21" s="145" t="s">
        <v>32</v>
      </c>
      <c r="C21" s="147">
        <v>-1285002.3</v>
      </c>
      <c r="D21" s="82"/>
      <c r="E21" s="147">
        <v>1189023.4</v>
      </c>
      <c r="F21" s="177"/>
      <c r="G21" s="233">
        <v>38990</v>
      </c>
      <c r="H21" s="121">
        <f>60700000+17350000-80382517.01</f>
        <v>-2332517.0100000054</v>
      </c>
      <c r="I21" s="121">
        <v>13276365.05</v>
      </c>
      <c r="J21" s="121">
        <f>-572694+3305+894970</f>
        <v>325581</v>
      </c>
      <c r="K21" s="121">
        <f>+I21+J21</f>
        <v>13601946.05</v>
      </c>
      <c r="L21" s="121">
        <v>428.56</v>
      </c>
      <c r="M21" s="121">
        <v>0</v>
      </c>
      <c r="N21" s="121"/>
      <c r="O21" s="121">
        <f>+K21-L21-M21</f>
        <v>13601517.49</v>
      </c>
      <c r="P21" s="212">
        <v>-93984034.15</v>
      </c>
    </row>
    <row r="22" spans="1:16" s="80" customFormat="1" ht="12.75">
      <c r="A22" s="80" t="s">
        <v>346</v>
      </c>
      <c r="C22" s="75">
        <f>SUM(C19:C21)</f>
        <v>-3797591.16</v>
      </c>
      <c r="D22" s="79"/>
      <c r="E22" s="75">
        <f>SUM(E19:E21)</f>
        <v>3222120.65</v>
      </c>
      <c r="F22" s="75"/>
      <c r="G22" s="233"/>
      <c r="H22" s="121"/>
      <c r="I22" s="121"/>
      <c r="J22" s="121"/>
      <c r="K22" s="121"/>
      <c r="L22" s="121"/>
      <c r="M22" s="121"/>
      <c r="N22" s="121"/>
      <c r="O22" s="121"/>
      <c r="P22" s="212"/>
    </row>
    <row r="23" spans="2:16" s="80" customFormat="1" ht="12.75">
      <c r="B23" s="145" t="s">
        <v>33</v>
      </c>
      <c r="C23" s="146">
        <v>-1503007.12</v>
      </c>
      <c r="E23" s="146">
        <v>1149649.85</v>
      </c>
      <c r="F23" s="146"/>
      <c r="G23" s="233">
        <v>39021</v>
      </c>
      <c r="H23" s="215">
        <f>60700000+17350000-79861432.59</f>
        <v>-1811432.5900000036</v>
      </c>
      <c r="I23" s="121">
        <v>13867706.86</v>
      </c>
      <c r="J23" s="121">
        <f>-647600.74+3328+899596</f>
        <v>255323.26</v>
      </c>
      <c r="K23" s="121">
        <f>+I23+J23</f>
        <v>14123030.12</v>
      </c>
      <c r="L23" s="121">
        <v>428.56</v>
      </c>
      <c r="M23" s="121">
        <v>0</v>
      </c>
      <c r="N23" s="121"/>
      <c r="O23" s="121">
        <f>+K23-L23-M23</f>
        <v>14122601.559999999</v>
      </c>
      <c r="P23" s="212">
        <v>-93984034.15</v>
      </c>
    </row>
    <row r="24" spans="2:16" s="80" customFormat="1" ht="12.75">
      <c r="B24" s="145" t="s">
        <v>34</v>
      </c>
      <c r="C24" s="146">
        <v>-1700097.24</v>
      </c>
      <c r="E24" s="146">
        <v>1011374.92</v>
      </c>
      <c r="F24" s="146"/>
      <c r="G24" s="233">
        <v>39051</v>
      </c>
      <c r="H24" s="121">
        <f>60700000+17350000-79005967.32</f>
        <v>-955967.3199999928</v>
      </c>
      <c r="I24" s="121">
        <v>14535800.13</v>
      </c>
      <c r="J24" s="121">
        <f>-652700.74+3328+1092068</f>
        <v>442695.26</v>
      </c>
      <c r="K24" s="121">
        <f>+I24+J24</f>
        <v>14978495.39</v>
      </c>
      <c r="L24" s="121">
        <v>428.56</v>
      </c>
      <c r="M24" s="121"/>
      <c r="N24" s="121"/>
      <c r="O24" s="121">
        <f>+K24-L24-M24</f>
        <v>14978066.83</v>
      </c>
      <c r="P24" s="212">
        <v>-93984034.15</v>
      </c>
    </row>
    <row r="25" spans="2:26" s="80" customFormat="1" ht="12.75">
      <c r="B25" s="145" t="s">
        <v>35</v>
      </c>
      <c r="C25" s="147">
        <v>-6566056.27</v>
      </c>
      <c r="D25" s="82"/>
      <c r="E25" s="147">
        <v>1048325.04</v>
      </c>
      <c r="F25" s="177"/>
      <c r="G25" s="233">
        <v>39082</v>
      </c>
      <c r="H25" s="185">
        <f>60700000+17350000-73922537.74</f>
        <v>4127462.2600000054</v>
      </c>
      <c r="I25" s="121">
        <v>17450365.01</v>
      </c>
      <c r="J25" s="121">
        <f>-368409.74+5980.7+2158354</f>
        <v>1795924.96</v>
      </c>
      <c r="K25" s="121">
        <f>+I25+J25</f>
        <v>19246289.970000003</v>
      </c>
      <c r="L25" s="121">
        <v>18793.56</v>
      </c>
      <c r="M25" s="121">
        <v>-834000</v>
      </c>
      <c r="N25" s="121"/>
      <c r="O25" s="121">
        <f>+K25-L25-M25</f>
        <v>20061496.410000004</v>
      </c>
      <c r="P25" s="212">
        <v>-93984034.15</v>
      </c>
      <c r="R25" s="82">
        <v>17450365.01</v>
      </c>
      <c r="S25" s="82">
        <f>-368409.74+5980.7+2158354</f>
        <v>1795924.96</v>
      </c>
      <c r="T25" s="82">
        <f>+R25+S25</f>
        <v>19246289.970000003</v>
      </c>
      <c r="U25" s="82">
        <v>18793.56</v>
      </c>
      <c r="V25" s="82">
        <v>-834000</v>
      </c>
      <c r="W25" s="121"/>
      <c r="X25" s="82">
        <f>+T25-U25-V25</f>
        <v>20061496.410000004</v>
      </c>
      <c r="Y25" s="239">
        <v>-93984034.15</v>
      </c>
      <c r="Z25" s="212"/>
    </row>
    <row r="26" spans="1:25" s="80" customFormat="1" ht="12.75">
      <c r="A26" s="80" t="s">
        <v>347</v>
      </c>
      <c r="C26" s="75">
        <f>SUM(C23:C25)</f>
        <v>-9769160.629999999</v>
      </c>
      <c r="D26" s="79"/>
      <c r="E26" s="75">
        <f>SUM(E23:E25)</f>
        <v>3209349.81</v>
      </c>
      <c r="F26" s="75"/>
      <c r="G26" s="233"/>
      <c r="H26" s="121"/>
      <c r="I26" s="121"/>
      <c r="J26" s="121"/>
      <c r="K26" s="121"/>
      <c r="L26" s="121"/>
      <c r="M26" s="121"/>
      <c r="N26" s="121"/>
      <c r="O26" s="121"/>
      <c r="P26" s="212"/>
      <c r="Q26" s="237" t="s">
        <v>402</v>
      </c>
      <c r="R26" s="185">
        <f>+R25-R18</f>
        <v>8515022.870000001</v>
      </c>
      <c r="S26" s="185">
        <f>+S25-S18</f>
        <v>1011493.76</v>
      </c>
      <c r="T26" s="238">
        <f>+T25-T18</f>
        <v>9526516.630000003</v>
      </c>
      <c r="U26" s="238">
        <f>+U25-U18</f>
        <v>18793.56</v>
      </c>
      <c r="V26" s="238">
        <f>+V25-V18</f>
        <v>-834000</v>
      </c>
      <c r="W26" s="185"/>
      <c r="X26" s="185">
        <f>+X25-X18</f>
        <v>10341723.070000004</v>
      </c>
      <c r="Y26" s="185">
        <f>+Y25</f>
        <v>-93984034.15</v>
      </c>
    </row>
    <row r="27" spans="2:16" s="80" customFormat="1" ht="12.75">
      <c r="B27" s="145" t="s">
        <v>36</v>
      </c>
      <c r="C27" s="146">
        <v>-1658057.07</v>
      </c>
      <c r="E27" s="146">
        <v>1039467.31</v>
      </c>
      <c r="F27" s="146"/>
      <c r="G27" s="233">
        <v>39113</v>
      </c>
      <c r="H27" s="121">
        <f>60700000+17350000-76657921.9</f>
        <v>1392078.099999994</v>
      </c>
      <c r="I27" s="121">
        <v>-166839.35</v>
      </c>
      <c r="J27" s="121">
        <f>-800+281987</f>
        <v>281187</v>
      </c>
      <c r="K27" s="121">
        <f>+I27+J27</f>
        <v>114347.65</v>
      </c>
      <c r="L27" s="121">
        <v>0</v>
      </c>
      <c r="M27" s="121">
        <v>0</v>
      </c>
      <c r="N27" s="121"/>
      <c r="O27" s="121">
        <f>+K27-L27-M27</f>
        <v>114347.65</v>
      </c>
      <c r="P27" s="212">
        <v>-76772269.55</v>
      </c>
    </row>
    <row r="28" spans="2:16" s="80" customFormat="1" ht="12.75">
      <c r="B28" s="145" t="s">
        <v>37</v>
      </c>
      <c r="C28" s="146">
        <v>-1208158.35</v>
      </c>
      <c r="E28" s="146">
        <v>1222366.53</v>
      </c>
      <c r="F28" s="146"/>
      <c r="G28" s="233">
        <v>39141</v>
      </c>
      <c r="H28" s="121">
        <f>60700000+17350000-75796104.72</f>
        <v>2253895.280000001</v>
      </c>
      <c r="I28" s="121">
        <v>729571.83</v>
      </c>
      <c r="J28" s="121">
        <f>-800+247393</f>
        <v>246593</v>
      </c>
      <c r="K28" s="121">
        <f>+I28+J28</f>
        <v>976164.83</v>
      </c>
      <c r="L28" s="121">
        <v>0</v>
      </c>
      <c r="M28" s="121">
        <v>0</v>
      </c>
      <c r="N28" s="121"/>
      <c r="O28" s="121">
        <f>+K28-L28-M28</f>
        <v>976164.83</v>
      </c>
      <c r="P28" s="212">
        <v>-76772269.55</v>
      </c>
    </row>
    <row r="29" spans="2:16" s="80" customFormat="1" ht="12.75">
      <c r="B29" s="145" t="s">
        <v>38</v>
      </c>
      <c r="C29" s="147">
        <v>-1324471.94</v>
      </c>
      <c r="D29" s="82"/>
      <c r="E29" s="147">
        <v>2450746.56</v>
      </c>
      <c r="F29" s="177"/>
      <c r="G29" s="233">
        <v>39172</v>
      </c>
      <c r="H29" s="121">
        <f>60700000+17350000-71252660.02</f>
        <v>6797339.980000004</v>
      </c>
      <c r="I29" s="121">
        <v>1851630.95</v>
      </c>
      <c r="J29" s="121">
        <f>-800-59.27+821606</f>
        <v>820746.73</v>
      </c>
      <c r="K29" s="121">
        <f>+I29+J29</f>
        <v>2672377.6799999997</v>
      </c>
      <c r="L29" s="121">
        <v>2500</v>
      </c>
      <c r="M29" s="121">
        <v>0</v>
      </c>
      <c r="N29" s="121"/>
      <c r="O29" s="121">
        <f>+K29-L29-M29</f>
        <v>2669877.6799999997</v>
      </c>
      <c r="P29" s="213">
        <v>-73922537</v>
      </c>
    </row>
    <row r="30" spans="1:25" s="80" customFormat="1" ht="12.75">
      <c r="A30" s="80" t="s">
        <v>349</v>
      </c>
      <c r="C30" s="75">
        <f>SUM(C27:C29)</f>
        <v>-4190687.36</v>
      </c>
      <c r="D30" s="75"/>
      <c r="E30" s="75">
        <f>SUM(E27:E29)</f>
        <v>4712580.4</v>
      </c>
      <c r="F30" s="75"/>
      <c r="G30" s="233"/>
      <c r="H30" s="121"/>
      <c r="I30" s="121"/>
      <c r="J30" s="121"/>
      <c r="K30" s="121"/>
      <c r="L30" s="121"/>
      <c r="M30" s="121"/>
      <c r="N30" s="121"/>
      <c r="O30" s="121"/>
      <c r="P30" s="212"/>
      <c r="Q30" s="237" t="s">
        <v>403</v>
      </c>
      <c r="R30" s="121">
        <v>1851630.95</v>
      </c>
      <c r="S30" s="121">
        <f>-800-59.27+821606</f>
        <v>820746.73</v>
      </c>
      <c r="T30" s="121">
        <f>+R30+S30</f>
        <v>2672377.6799999997</v>
      </c>
      <c r="U30" s="121">
        <v>2500</v>
      </c>
      <c r="V30" s="121">
        <v>0</v>
      </c>
      <c r="W30" s="121"/>
      <c r="X30" s="121">
        <f>+T30-U30-V30</f>
        <v>2669877.6799999997</v>
      </c>
      <c r="Y30" s="213">
        <v>-73922537</v>
      </c>
    </row>
    <row r="31" spans="2:16" s="80" customFormat="1" ht="12.75">
      <c r="B31" s="145" t="s">
        <v>39</v>
      </c>
      <c r="C31" s="146">
        <v>-2940726.86</v>
      </c>
      <c r="E31" s="146">
        <v>1836716.17</v>
      </c>
      <c r="F31" s="146"/>
      <c r="G31" s="233">
        <v>39202</v>
      </c>
      <c r="H31" s="121"/>
      <c r="I31" s="121"/>
      <c r="J31" s="121"/>
      <c r="K31" s="121"/>
      <c r="L31" s="121"/>
      <c r="M31" s="121"/>
      <c r="N31" s="121"/>
      <c r="O31" s="121">
        <f>+K31-L31-M31</f>
        <v>0</v>
      </c>
      <c r="P31" s="212"/>
    </row>
    <row r="32" spans="2:16" s="80" customFormat="1" ht="12.75">
      <c r="B32" s="145" t="s">
        <v>40</v>
      </c>
      <c r="C32" s="146">
        <v>-2155725.69</v>
      </c>
      <c r="E32" s="146">
        <v>1016500.01</v>
      </c>
      <c r="F32" s="146"/>
      <c r="G32" s="233">
        <v>39233</v>
      </c>
      <c r="H32" s="121"/>
      <c r="I32" s="121"/>
      <c r="J32" s="121"/>
      <c r="K32" s="121"/>
      <c r="L32" s="121"/>
      <c r="M32" s="121"/>
      <c r="N32" s="121"/>
      <c r="O32" s="121">
        <f>+K32-L32-M32</f>
        <v>0</v>
      </c>
      <c r="P32" s="212"/>
    </row>
    <row r="33" spans="2:25" s="80" customFormat="1" ht="12.75">
      <c r="B33" s="145" t="s">
        <v>41</v>
      </c>
      <c r="C33" s="147">
        <v>-2063383.54</v>
      </c>
      <c r="D33" s="82"/>
      <c r="E33" s="147">
        <v>1414897.54</v>
      </c>
      <c r="F33" s="177"/>
      <c r="G33" s="233">
        <v>39263</v>
      </c>
      <c r="H33" s="121"/>
      <c r="I33" s="121"/>
      <c r="J33" s="121"/>
      <c r="K33" s="121"/>
      <c r="L33" s="121"/>
      <c r="M33" s="121"/>
      <c r="N33" s="121"/>
      <c r="O33" s="121">
        <f>+K33-L33-M33</f>
        <v>0</v>
      </c>
      <c r="P33" s="212"/>
      <c r="R33" s="82"/>
      <c r="S33" s="82"/>
      <c r="T33" s="82"/>
      <c r="U33" s="82"/>
      <c r="V33" s="82"/>
      <c r="X33" s="82"/>
      <c r="Y33" s="82"/>
    </row>
    <row r="34" spans="1:25" s="80" customFormat="1" ht="13.5" thickBot="1">
      <c r="A34" s="80" t="s">
        <v>348</v>
      </c>
      <c r="C34" s="171">
        <f>SUM(C31:C33)</f>
        <v>-7159836.09</v>
      </c>
      <c r="D34" s="171"/>
      <c r="E34" s="171">
        <f>SUM(E31:E33)</f>
        <v>4268113.72</v>
      </c>
      <c r="F34" s="171"/>
      <c r="G34" s="233"/>
      <c r="H34" s="121"/>
      <c r="I34" s="121"/>
      <c r="J34" s="121"/>
      <c r="K34" s="121"/>
      <c r="L34" s="121"/>
      <c r="M34" s="121"/>
      <c r="N34" s="121"/>
      <c r="O34" s="121"/>
      <c r="P34" s="212"/>
      <c r="Q34" s="237" t="s">
        <v>404</v>
      </c>
      <c r="R34" s="186">
        <f>+R26+R30</f>
        <v>10366653.82</v>
      </c>
      <c r="S34" s="186">
        <f>+S26+S30</f>
        <v>1832240.49</v>
      </c>
      <c r="T34" s="240">
        <f>+T26+T30</f>
        <v>12198894.310000002</v>
      </c>
      <c r="U34" s="186">
        <f>+U26+U30</f>
        <v>21293.56</v>
      </c>
      <c r="V34" s="186">
        <f>+V26+V30</f>
        <v>-834000</v>
      </c>
      <c r="W34" s="79"/>
      <c r="X34" s="240">
        <f>+X26+X30</f>
        <v>13011600.750000004</v>
      </c>
      <c r="Y34" s="186"/>
    </row>
    <row r="35" spans="2:16" s="80" customFormat="1" ht="13.5" thickTop="1">
      <c r="B35" s="145" t="s">
        <v>367</v>
      </c>
      <c r="C35" s="146"/>
      <c r="E35" s="146">
        <v>1247048.28</v>
      </c>
      <c r="F35" s="146"/>
      <c r="G35" s="233">
        <v>39294</v>
      </c>
      <c r="H35" s="121"/>
      <c r="I35" s="121"/>
      <c r="J35" s="121"/>
      <c r="K35" s="121"/>
      <c r="L35" s="121"/>
      <c r="M35" s="121"/>
      <c r="N35" s="121"/>
      <c r="O35" s="121"/>
      <c r="P35" s="212"/>
    </row>
    <row r="36" spans="2:16" s="80" customFormat="1" ht="12.75">
      <c r="B36" s="145" t="s">
        <v>368</v>
      </c>
      <c r="C36" s="146"/>
      <c r="E36" s="146">
        <v>1348304.18</v>
      </c>
      <c r="F36" s="146"/>
      <c r="G36" s="233">
        <v>39325</v>
      </c>
      <c r="H36" s="121"/>
      <c r="I36" s="121"/>
      <c r="J36" s="121"/>
      <c r="K36" s="121"/>
      <c r="L36" s="121"/>
      <c r="M36" s="121"/>
      <c r="N36" s="121"/>
      <c r="O36" s="121"/>
      <c r="P36" s="212"/>
    </row>
    <row r="37" spans="2:16" s="80" customFormat="1" ht="13.5" thickBot="1">
      <c r="B37" s="145" t="s">
        <v>369</v>
      </c>
      <c r="C37" s="147"/>
      <c r="D37" s="82"/>
      <c r="E37" s="147">
        <v>1286391.34</v>
      </c>
      <c r="F37" s="177"/>
      <c r="G37" s="234">
        <v>39355</v>
      </c>
      <c r="H37" s="135"/>
      <c r="I37" s="135"/>
      <c r="J37" s="135"/>
      <c r="K37" s="135"/>
      <c r="L37" s="135"/>
      <c r="M37" s="135"/>
      <c r="N37" s="135"/>
      <c r="O37" s="135"/>
      <c r="P37" s="214"/>
    </row>
    <row r="38" spans="2:16" s="80" customFormat="1" ht="12.75">
      <c r="B38" s="145"/>
      <c r="C38" s="75">
        <f>SUM(C35:C37)</f>
        <v>0</v>
      </c>
      <c r="D38" s="79"/>
      <c r="E38" s="75">
        <f>SUM(E35:E37)</f>
        <v>3881743.8</v>
      </c>
      <c r="F38" s="75"/>
      <c r="G38" s="206"/>
      <c r="H38" s="121"/>
      <c r="I38" s="121"/>
      <c r="J38" s="121"/>
      <c r="K38" s="121"/>
      <c r="L38" s="121"/>
      <c r="M38" s="121"/>
      <c r="N38" s="121"/>
      <c r="O38" s="121"/>
      <c r="P38" s="121"/>
    </row>
    <row r="39" spans="2:16" s="80" customFormat="1" ht="12.75">
      <c r="B39" s="145"/>
      <c r="C39" s="146"/>
      <c r="E39" s="146"/>
      <c r="F39" s="146"/>
      <c r="H39" s="121"/>
      <c r="I39" s="121"/>
      <c r="J39" s="121"/>
      <c r="K39" s="121"/>
      <c r="L39" s="121"/>
      <c r="M39" s="121"/>
      <c r="N39" s="121"/>
      <c r="O39" s="121"/>
      <c r="P39" s="121"/>
    </row>
    <row r="40" spans="2:16" s="80" customFormat="1" ht="12.75">
      <c r="B40" s="145"/>
      <c r="C40" s="146"/>
      <c r="E40" s="146"/>
      <c r="F40" s="146"/>
      <c r="H40" s="121"/>
      <c r="I40" s="121"/>
      <c r="J40" s="121"/>
      <c r="K40" s="121"/>
      <c r="L40" s="121"/>
      <c r="M40" s="121"/>
      <c r="N40" s="121"/>
      <c r="O40" s="121"/>
      <c r="P40" s="121"/>
    </row>
    <row r="41" spans="2:7" s="80" customFormat="1" ht="13.5" thickBot="1">
      <c r="B41" s="145"/>
      <c r="C41" s="146"/>
      <c r="E41" s="146"/>
      <c r="F41" s="146"/>
      <c r="G41" s="80" t="s">
        <v>422</v>
      </c>
    </row>
    <row r="42" spans="3:16" s="80" customFormat="1" ht="12.75">
      <c r="C42" s="146"/>
      <c r="E42" s="146"/>
      <c r="F42" s="146"/>
      <c r="G42" s="207"/>
      <c r="H42" s="210"/>
      <c r="I42" s="210" t="s">
        <v>415</v>
      </c>
      <c r="J42" s="210"/>
      <c r="K42" s="210" t="s">
        <v>188</v>
      </c>
      <c r="L42" s="210"/>
      <c r="M42" s="210"/>
      <c r="N42" s="210"/>
      <c r="O42" s="210"/>
      <c r="P42" s="211"/>
    </row>
    <row r="43" spans="1:16" s="80" customFormat="1" ht="13.5" thickBot="1">
      <c r="A43" s="80" t="s">
        <v>350</v>
      </c>
      <c r="C43" s="149">
        <f>+C22+C26+C30+C34+C38</f>
        <v>-24917275.24</v>
      </c>
      <c r="D43" s="149"/>
      <c r="E43" s="149">
        <f>+E22+E26+E30+E34+E38</f>
        <v>19293908.38</v>
      </c>
      <c r="F43" s="175"/>
      <c r="G43" s="208"/>
      <c r="H43" s="121" t="s">
        <v>414</v>
      </c>
      <c r="I43" s="121" t="s">
        <v>416</v>
      </c>
      <c r="J43" s="121" t="s">
        <v>417</v>
      </c>
      <c r="K43" s="121" t="s">
        <v>405</v>
      </c>
      <c r="L43" s="121" t="s">
        <v>420</v>
      </c>
      <c r="M43" s="121" t="s">
        <v>418</v>
      </c>
      <c r="N43" s="121"/>
      <c r="O43" s="121" t="s">
        <v>419</v>
      </c>
      <c r="P43" s="212" t="s">
        <v>421</v>
      </c>
    </row>
    <row r="44" spans="3:16" s="80" customFormat="1" ht="13.5" thickTop="1">
      <c r="C44" s="176"/>
      <c r="D44" s="175"/>
      <c r="E44" s="176"/>
      <c r="F44" s="176"/>
      <c r="G44" s="233">
        <v>38928</v>
      </c>
      <c r="H44" s="121">
        <v>2656185.54</v>
      </c>
      <c r="I44" s="121">
        <f>-123190+119-1118217</f>
        <v>-1241288</v>
      </c>
      <c r="J44" s="121">
        <f>+H44+I44</f>
        <v>1414897.54</v>
      </c>
      <c r="K44" s="121">
        <v>0</v>
      </c>
      <c r="L44" s="121">
        <v>0</v>
      </c>
      <c r="M44" s="121">
        <f>+J44-K44-L44</f>
        <v>1414897.54</v>
      </c>
      <c r="N44" s="121"/>
      <c r="O44" s="121">
        <v>-85679158.35</v>
      </c>
      <c r="P44" s="235">
        <f>+M44+O44</f>
        <v>-84264260.80999999</v>
      </c>
    </row>
    <row r="45" spans="1:16" s="80" customFormat="1" ht="12.75">
      <c r="A45" s="80" t="s">
        <v>370</v>
      </c>
      <c r="C45" s="176"/>
      <c r="D45" s="175"/>
      <c r="E45" s="175">
        <v>-2332517</v>
      </c>
      <c r="F45" s="175"/>
      <c r="G45" s="233">
        <v>38960</v>
      </c>
      <c r="H45" s="121">
        <v>920616.98</v>
      </c>
      <c r="I45" s="121">
        <f>-38231.7+364663</f>
        <v>326431.3</v>
      </c>
      <c r="J45" s="121">
        <f>+H45+I45</f>
        <v>1247048.28</v>
      </c>
      <c r="K45" s="121">
        <v>0</v>
      </c>
      <c r="L45" s="121">
        <v>0</v>
      </c>
      <c r="M45" s="121">
        <f>+J45-K45-L45</f>
        <v>1247048.28</v>
      </c>
      <c r="N45" s="121"/>
      <c r="O45" s="121">
        <v>-84264260.81</v>
      </c>
      <c r="P45" s="235">
        <f>+M45+O45</f>
        <v>-83017212.53</v>
      </c>
    </row>
    <row r="46" spans="3:16" s="80" customFormat="1" ht="12.75">
      <c r="C46" s="176"/>
      <c r="D46" s="175"/>
      <c r="E46" s="176"/>
      <c r="F46" s="176"/>
      <c r="G46" s="233">
        <v>38990</v>
      </c>
      <c r="H46" s="121">
        <v>2087855.24</v>
      </c>
      <c r="I46" s="121">
        <f>-302208.5+4-430786</f>
        <v>-732990.5</v>
      </c>
      <c r="J46" s="121">
        <f>+H46+I46</f>
        <v>1354864.74</v>
      </c>
      <c r="K46" s="121">
        <v>6560.56</v>
      </c>
      <c r="L46" s="121">
        <v>0</v>
      </c>
      <c r="M46" s="121">
        <f>+J46-K46-L46</f>
        <v>1348304.18</v>
      </c>
      <c r="N46" s="121"/>
      <c r="O46" s="121">
        <v>-83017212.53</v>
      </c>
      <c r="P46" s="235">
        <f>+M46+O46</f>
        <v>-81668908.35</v>
      </c>
    </row>
    <row r="47" spans="3:16" s="80" customFormat="1" ht="12.75">
      <c r="C47" s="84"/>
      <c r="E47" s="84"/>
      <c r="F47" s="84"/>
      <c r="G47" s="233"/>
      <c r="H47" s="121"/>
      <c r="I47" s="121"/>
      <c r="J47" s="121"/>
      <c r="K47" s="121"/>
      <c r="L47" s="121"/>
      <c r="M47" s="121"/>
      <c r="N47" s="121"/>
      <c r="O47" s="121"/>
      <c r="P47" s="212"/>
    </row>
    <row r="48" spans="1:16" s="80" customFormat="1" ht="12.75">
      <c r="A48" s="79" t="s">
        <v>225</v>
      </c>
      <c r="G48" s="233">
        <v>39021</v>
      </c>
      <c r="H48" s="121"/>
      <c r="I48" s="121"/>
      <c r="J48" s="121">
        <f>+H48+I48</f>
        <v>0</v>
      </c>
      <c r="K48" s="121"/>
      <c r="L48" s="121"/>
      <c r="M48" s="121">
        <f>+J48-K48-L48</f>
        <v>0</v>
      </c>
      <c r="N48" s="121"/>
      <c r="O48" s="121"/>
      <c r="P48" s="235">
        <f>+M48+O48</f>
        <v>0</v>
      </c>
    </row>
    <row r="49" spans="7:16" s="80" customFormat="1" ht="12.75">
      <c r="G49" s="233">
        <v>39051</v>
      </c>
      <c r="H49" s="121">
        <v>591341.82</v>
      </c>
      <c r="I49" s="121">
        <f>-74906.4+23+4626</f>
        <v>-70257.4</v>
      </c>
      <c r="J49" s="121">
        <f>+H49+I49</f>
        <v>521084.4199999999</v>
      </c>
      <c r="K49" s="121">
        <v>0</v>
      </c>
      <c r="L49" s="121">
        <v>0</v>
      </c>
      <c r="M49" s="121">
        <f>+J49-K49-L49</f>
        <v>521084.4199999999</v>
      </c>
      <c r="N49" s="121"/>
      <c r="O49" s="121">
        <v>-80382517.01</v>
      </c>
      <c r="P49" s="235">
        <f>+M49+O49</f>
        <v>-79861432.59</v>
      </c>
    </row>
    <row r="50" spans="1:18" s="80" customFormat="1" ht="12.75">
      <c r="A50" s="80" t="s">
        <v>346</v>
      </c>
      <c r="B50" s="48">
        <v>0.2968</v>
      </c>
      <c r="C50" s="146" t="e">
        <f>+C22*C16</f>
        <v>#REF!</v>
      </c>
      <c r="D50" s="48">
        <v>0.4254</v>
      </c>
      <c r="E50" s="146" t="e">
        <f>+E22*E16</f>
        <v>#REF!</v>
      </c>
      <c r="F50" s="146"/>
      <c r="G50" s="233">
        <v>39082</v>
      </c>
      <c r="H50" s="121">
        <v>668093.27</v>
      </c>
      <c r="I50" s="121">
        <f>-5100+192472</f>
        <v>187372</v>
      </c>
      <c r="J50" s="121">
        <f>+H50+I50</f>
        <v>855465.27</v>
      </c>
      <c r="K50" s="121">
        <v>0</v>
      </c>
      <c r="L50" s="121">
        <v>0</v>
      </c>
      <c r="M50" s="121">
        <f>+J50-K50-L50</f>
        <v>855465.27</v>
      </c>
      <c r="N50" s="121"/>
      <c r="O50" s="121">
        <v>-79861432.59</v>
      </c>
      <c r="P50" s="236">
        <f>+M50+O50</f>
        <v>-79005967.32000001</v>
      </c>
      <c r="Q50" s="184">
        <v>-73922537</v>
      </c>
      <c r="R50" s="80">
        <f>+P50-Q50</f>
        <v>-5083430.320000008</v>
      </c>
    </row>
    <row r="51" spans="1:16" s="80" customFormat="1" ht="12.75">
      <c r="A51" s="80" t="s">
        <v>347</v>
      </c>
      <c r="C51" s="146" t="e">
        <f>+C26*C16</f>
        <v>#REF!</v>
      </c>
      <c r="E51" s="146" t="e">
        <f>+E26*E16</f>
        <v>#REF!</v>
      </c>
      <c r="F51" s="146"/>
      <c r="G51" s="233"/>
      <c r="H51" s="121"/>
      <c r="I51" s="121"/>
      <c r="J51" s="121"/>
      <c r="K51" s="121"/>
      <c r="L51" s="121"/>
      <c r="M51" s="121"/>
      <c r="N51" s="121"/>
      <c r="O51" s="121"/>
      <c r="P51" s="212"/>
    </row>
    <row r="52" spans="1:16" s="80" customFormat="1" ht="12.75">
      <c r="A52" s="80" t="s">
        <v>349</v>
      </c>
      <c r="C52" s="146" t="e">
        <f>+C30*C16</f>
        <v>#REF!</v>
      </c>
      <c r="E52" s="146" t="e">
        <f>+E30*E16</f>
        <v>#REF!</v>
      </c>
      <c r="F52" s="146"/>
      <c r="G52" s="233">
        <v>39113</v>
      </c>
      <c r="H52" s="121">
        <v>0</v>
      </c>
      <c r="I52" s="121">
        <v>0</v>
      </c>
      <c r="J52" s="121">
        <f>+H52+I52</f>
        <v>0</v>
      </c>
      <c r="K52" s="121">
        <v>0</v>
      </c>
      <c r="L52" s="121">
        <v>0</v>
      </c>
      <c r="M52" s="121">
        <f>+J52-K52-L52</f>
        <v>0</v>
      </c>
      <c r="N52" s="121"/>
      <c r="O52" s="121">
        <v>-76772269.55</v>
      </c>
      <c r="P52" s="235">
        <f>+M52+O52</f>
        <v>-76772269.55</v>
      </c>
    </row>
    <row r="53" spans="1:16" s="80" customFormat="1" ht="12.75">
      <c r="A53" s="80" t="s">
        <v>348</v>
      </c>
      <c r="C53" s="146" t="e">
        <f>+C34*C16</f>
        <v>#REF!</v>
      </c>
      <c r="E53" s="146" t="e">
        <f>+E34*E16</f>
        <v>#REF!</v>
      </c>
      <c r="F53" s="146"/>
      <c r="G53" s="233">
        <v>39141</v>
      </c>
      <c r="H53" s="121">
        <v>-166839.35</v>
      </c>
      <c r="I53" s="121">
        <f>-800+281987</f>
        <v>281187</v>
      </c>
      <c r="J53" s="121">
        <f>+H53+I53</f>
        <v>114347.65</v>
      </c>
      <c r="K53" s="121">
        <v>0</v>
      </c>
      <c r="L53" s="121">
        <v>0</v>
      </c>
      <c r="M53" s="121">
        <f>+J53-K53-L53</f>
        <v>114347.65</v>
      </c>
      <c r="N53" s="121"/>
      <c r="O53" s="121">
        <v>-76772269.55</v>
      </c>
      <c r="P53" s="213">
        <f>+M53+O53</f>
        <v>-76657921.89999999</v>
      </c>
    </row>
    <row r="54" spans="3:16" s="80" customFormat="1" ht="13.5" thickBot="1">
      <c r="C54" s="148" t="e">
        <f>SUM(C50:C53)</f>
        <v>#REF!</v>
      </c>
      <c r="D54" s="146"/>
      <c r="E54" s="148" t="e">
        <f>SUM(E50:E53)</f>
        <v>#REF!</v>
      </c>
      <c r="F54" s="177"/>
      <c r="G54" s="233">
        <v>39172</v>
      </c>
      <c r="H54" s="121">
        <v>896411.18</v>
      </c>
      <c r="I54" s="121">
        <v>-34594</v>
      </c>
      <c r="J54" s="121">
        <f>+H54+I54</f>
        <v>861817.18</v>
      </c>
      <c r="K54" s="121">
        <v>0</v>
      </c>
      <c r="L54" s="121">
        <v>0</v>
      </c>
      <c r="M54" s="121">
        <f>+J54-K54-L54</f>
        <v>861817.18</v>
      </c>
      <c r="N54" s="121"/>
      <c r="O54" s="154">
        <v>-73808190.05</v>
      </c>
      <c r="P54" s="235">
        <f>+M54+O54</f>
        <v>-72946372.86999999</v>
      </c>
    </row>
    <row r="55" spans="1:16" s="80" customFormat="1" ht="13.5" thickTop="1">
      <c r="A55" s="80" t="s">
        <v>371</v>
      </c>
      <c r="C55" s="177"/>
      <c r="D55" s="146"/>
      <c r="E55" s="177">
        <f>+E38*D50</f>
        <v>1651293.81252</v>
      </c>
      <c r="F55" s="177"/>
      <c r="G55" s="233"/>
      <c r="H55" s="121"/>
      <c r="I55" s="121"/>
      <c r="J55" s="121"/>
      <c r="K55" s="121"/>
      <c r="L55" s="121"/>
      <c r="M55" s="121"/>
      <c r="N55" s="121"/>
      <c r="O55" s="121"/>
      <c r="P55" s="212"/>
    </row>
    <row r="56" spans="7:16" s="80" customFormat="1" ht="12.75">
      <c r="G56" s="233">
        <v>39202</v>
      </c>
      <c r="H56" s="121"/>
      <c r="I56" s="121"/>
      <c r="J56" s="121"/>
      <c r="K56" s="121"/>
      <c r="L56" s="121"/>
      <c r="M56" s="121"/>
      <c r="N56" s="121"/>
      <c r="O56" s="121"/>
      <c r="P56" s="212"/>
    </row>
    <row r="57" spans="7:16" s="80" customFormat="1" ht="12.75">
      <c r="G57" s="233">
        <v>39233</v>
      </c>
      <c r="H57" s="121"/>
      <c r="I57" s="121"/>
      <c r="J57" s="121"/>
      <c r="K57" s="121"/>
      <c r="L57" s="121"/>
      <c r="M57" s="121"/>
      <c r="N57" s="121"/>
      <c r="O57" s="121"/>
      <c r="P57" s="212"/>
    </row>
    <row r="58" spans="2:16" s="80" customFormat="1" ht="12.75">
      <c r="B58" s="79" t="s">
        <v>226</v>
      </c>
      <c r="G58" s="233">
        <v>39263</v>
      </c>
      <c r="H58" s="121"/>
      <c r="I58" s="121"/>
      <c r="J58" s="121"/>
      <c r="K58" s="121"/>
      <c r="L58" s="121"/>
      <c r="M58" s="121"/>
      <c r="N58" s="121"/>
      <c r="O58" s="121"/>
      <c r="P58" s="212"/>
    </row>
    <row r="59" spans="4:16" s="80" customFormat="1" ht="13.5" thickBot="1">
      <c r="D59" s="142" t="s">
        <v>412</v>
      </c>
      <c r="G59" s="209"/>
      <c r="H59" s="135"/>
      <c r="I59" s="135"/>
      <c r="J59" s="135"/>
      <c r="K59" s="135"/>
      <c r="L59" s="135"/>
      <c r="M59" s="135"/>
      <c r="N59" s="135"/>
      <c r="O59" s="135"/>
      <c r="P59" s="214"/>
    </row>
    <row r="60" spans="2:4" s="80" customFormat="1" ht="12.75">
      <c r="B60" s="80" t="s">
        <v>352</v>
      </c>
      <c r="D60" s="84">
        <f>ROUND(M84/1000,0)</f>
        <v>9187</v>
      </c>
    </row>
    <row r="61" spans="2:4" s="80" customFormat="1" ht="12.75">
      <c r="B61" s="80" t="s">
        <v>260</v>
      </c>
      <c r="D61" s="84">
        <f>ROUND(M85/1000,0)</f>
        <v>790</v>
      </c>
    </row>
    <row r="62" spans="2:4" s="80" customFormat="1" ht="12.75">
      <c r="B62" s="80" t="s">
        <v>353</v>
      </c>
      <c r="D62" s="80" t="e">
        <f>#REF!/1000</f>
        <v>#REF!</v>
      </c>
    </row>
    <row r="63" spans="4:15" s="80" customFormat="1" ht="13.5" thickBot="1">
      <c r="D63" s="144" t="e">
        <f>SUM(D60:D62)</f>
        <v>#REF!</v>
      </c>
      <c r="O63" s="160">
        <f>CBS!C23</f>
        <v>392</v>
      </c>
    </row>
    <row r="64" s="80" customFormat="1" ht="13.5" thickTop="1">
      <c r="O64" s="161" t="e">
        <f>D63-O63</f>
        <v>#REF!</v>
      </c>
    </row>
    <row r="65" s="80" customFormat="1" ht="12.75"/>
    <row r="66" s="80" customFormat="1" ht="12.75"/>
    <row r="67" s="80" customFormat="1" ht="12.75"/>
    <row r="68" s="80" customFormat="1" ht="12.75">
      <c r="A68" s="79" t="s">
        <v>227</v>
      </c>
    </row>
    <row r="69" s="80" customFormat="1" ht="12.75"/>
    <row r="70" spans="2:14" s="80" customFormat="1" ht="12.75">
      <c r="B70" s="142" t="s">
        <v>375</v>
      </c>
      <c r="C70" s="142" t="s">
        <v>42</v>
      </c>
      <c r="D70" s="142" t="s">
        <v>424</v>
      </c>
      <c r="E70" s="142" t="s">
        <v>425</v>
      </c>
      <c r="F70" s="142"/>
      <c r="G70" s="142" t="s">
        <v>195</v>
      </c>
      <c r="H70" s="142" t="s">
        <v>423</v>
      </c>
      <c r="I70" s="142" t="s">
        <v>377</v>
      </c>
      <c r="J70" s="142"/>
      <c r="K70" s="142"/>
      <c r="L70" s="142" t="s">
        <v>330</v>
      </c>
      <c r="M70" s="142" t="s">
        <v>219</v>
      </c>
      <c r="N70" s="142"/>
    </row>
    <row r="71" spans="1:13" s="80" customFormat="1" ht="12.75">
      <c r="A71" s="80" t="s">
        <v>373</v>
      </c>
      <c r="B71" s="165">
        <v>216163.76</v>
      </c>
      <c r="C71" s="165">
        <f>235.91+607.55</f>
        <v>843.4599999999999</v>
      </c>
      <c r="D71" s="165">
        <f>2795.58+22.57</f>
        <v>2818.15</v>
      </c>
      <c r="G71" s="165">
        <v>10451.25</v>
      </c>
      <c r="I71" s="165">
        <f>5612.03+16682.88</f>
        <v>22294.91</v>
      </c>
      <c r="J71" s="165"/>
      <c r="K71" s="165"/>
      <c r="M71" s="80">
        <f>SUM(B71:L71)</f>
        <v>252571.53</v>
      </c>
    </row>
    <row r="72" spans="1:13" s="80" customFormat="1" ht="12.75">
      <c r="A72" s="80" t="s">
        <v>411</v>
      </c>
      <c r="C72" s="165">
        <v>81600</v>
      </c>
      <c r="D72" s="165"/>
      <c r="M72" s="80">
        <f>SUM(B72:L72)</f>
        <v>81600</v>
      </c>
    </row>
    <row r="73" spans="1:13" s="80" customFormat="1" ht="12.75">
      <c r="A73" s="80" t="s">
        <v>315</v>
      </c>
      <c r="D73" s="165"/>
      <c r="E73" s="165">
        <v>29700</v>
      </c>
      <c r="F73" s="165"/>
      <c r="H73" s="165">
        <v>17260</v>
      </c>
      <c r="L73" s="165">
        <v>46</v>
      </c>
      <c r="M73" s="80">
        <f>SUM(B73:L73)</f>
        <v>47006</v>
      </c>
    </row>
    <row r="74" spans="1:13" s="80" customFormat="1" ht="12.75">
      <c r="A74" s="80" t="s">
        <v>331</v>
      </c>
      <c r="D74" s="165"/>
      <c r="H74" s="165">
        <v>2999</v>
      </c>
      <c r="M74" s="80">
        <f>SUM(B74:L74)</f>
        <v>2999</v>
      </c>
    </row>
    <row r="75" spans="1:13" s="80" customFormat="1" ht="12.75">
      <c r="A75" s="80" t="s">
        <v>45</v>
      </c>
      <c r="D75" s="165">
        <v>5453.61</v>
      </c>
      <c r="G75" s="165">
        <f>88840.39+2078</f>
        <v>90918.39</v>
      </c>
      <c r="I75" s="165">
        <v>51.94</v>
      </c>
      <c r="J75" s="165"/>
      <c r="K75" s="165"/>
      <c r="M75" s="80">
        <f>SUM(B75:L75)</f>
        <v>96423.94</v>
      </c>
    </row>
    <row r="76" spans="2:15" s="80" customFormat="1" ht="12.75">
      <c r="B76" s="83">
        <f>SUM(B71:B75)</f>
        <v>216163.76</v>
      </c>
      <c r="C76" s="83">
        <f aca="true" t="shared" si="0" ref="C76:L76">SUM(C71:C75)</f>
        <v>82443.46</v>
      </c>
      <c r="D76" s="83">
        <f t="shared" si="0"/>
        <v>8271.76</v>
      </c>
      <c r="E76" s="83">
        <f t="shared" si="0"/>
        <v>29700</v>
      </c>
      <c r="F76" s="83"/>
      <c r="G76" s="83">
        <f t="shared" si="0"/>
        <v>101369.64</v>
      </c>
      <c r="H76" s="83">
        <f t="shared" si="0"/>
        <v>20259</v>
      </c>
      <c r="I76" s="83">
        <f t="shared" si="0"/>
        <v>22346.85</v>
      </c>
      <c r="J76" s="83"/>
      <c r="K76" s="83"/>
      <c r="L76" s="83">
        <f t="shared" si="0"/>
        <v>46</v>
      </c>
      <c r="M76" s="83">
        <f>SUM(M71:M75)</f>
        <v>480600.47000000003</v>
      </c>
      <c r="N76" s="120"/>
      <c r="O76" s="160" t="e">
        <f>+#REF!</f>
        <v>#REF!</v>
      </c>
    </row>
    <row r="77" s="80" customFormat="1" ht="12.75">
      <c r="O77" s="161" t="e">
        <f>+M76-O76</f>
        <v>#REF!</v>
      </c>
    </row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pans="2:12" s="80" customFormat="1" ht="12.75">
      <c r="B83" s="142" t="s">
        <v>375</v>
      </c>
      <c r="C83" s="142" t="s">
        <v>42</v>
      </c>
      <c r="D83" s="142" t="s">
        <v>372</v>
      </c>
      <c r="E83" s="142" t="s">
        <v>425</v>
      </c>
      <c r="F83" s="142"/>
      <c r="G83" s="142" t="s">
        <v>195</v>
      </c>
      <c r="H83" s="142" t="s">
        <v>423</v>
      </c>
      <c r="I83" s="142" t="s">
        <v>377</v>
      </c>
      <c r="J83" s="142"/>
      <c r="K83" s="142"/>
      <c r="L83" s="142" t="s">
        <v>330</v>
      </c>
    </row>
    <row r="84" spans="1:13" s="80" customFormat="1" ht="12.75">
      <c r="A84" s="80" t="s">
        <v>352</v>
      </c>
      <c r="B84" s="174">
        <v>7750000</v>
      </c>
      <c r="C84" s="174">
        <v>414608</v>
      </c>
      <c r="D84" s="174">
        <v>0</v>
      </c>
      <c r="G84" s="174">
        <v>400000</v>
      </c>
      <c r="I84" s="174">
        <v>622015</v>
      </c>
      <c r="J84" s="174"/>
      <c r="K84" s="174"/>
      <c r="M84" s="80">
        <f>SUM(B84:L84)</f>
        <v>9186623</v>
      </c>
    </row>
    <row r="85" spans="1:13" s="80" customFormat="1" ht="12.75">
      <c r="A85" s="80" t="s">
        <v>260</v>
      </c>
      <c r="C85" s="174">
        <v>130000</v>
      </c>
      <c r="D85" s="174">
        <v>60000</v>
      </c>
      <c r="G85" s="174">
        <v>600000</v>
      </c>
      <c r="M85" s="80">
        <f>SUM(B85:L85)</f>
        <v>790000</v>
      </c>
    </row>
    <row r="86" s="80" customFormat="1" ht="12.75">
      <c r="M86" s="80">
        <f>SUM(M84:M85)</f>
        <v>9976623</v>
      </c>
    </row>
    <row r="87" s="80" customFormat="1" ht="12.75">
      <c r="M87" s="80">
        <v>9976623</v>
      </c>
    </row>
    <row r="88" s="80" customFormat="1" ht="12.75">
      <c r="M88" s="80">
        <f>+M87-M86</f>
        <v>0</v>
      </c>
    </row>
    <row r="89" s="80" customFormat="1" ht="12.75"/>
    <row r="90" s="80" customFormat="1" ht="12.75"/>
    <row r="91" s="80" customFormat="1" ht="12.75"/>
    <row r="92" s="80" customFormat="1" ht="12.75"/>
    <row r="93" ht="12.75">
      <c r="O93" s="80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2" sqref="C22"/>
    </sheetView>
  </sheetViews>
  <sheetFormatPr defaultColWidth="9.33203125" defaultRowHeight="12.75"/>
  <cols>
    <col min="1" max="1" width="1.83203125" style="0" customWidth="1"/>
    <col min="2" max="2" width="24.66015625" style="0" customWidth="1"/>
    <col min="3" max="3" width="14.66015625" style="21" customWidth="1"/>
    <col min="4" max="5" width="10.33203125" style="0" customWidth="1"/>
  </cols>
  <sheetData>
    <row r="1" ht="12.75">
      <c r="A1" s="7" t="s">
        <v>387</v>
      </c>
    </row>
    <row r="2" ht="12.75">
      <c r="A2" s="7"/>
    </row>
    <row r="3" ht="12.75">
      <c r="A3" s="7" t="s">
        <v>388</v>
      </c>
    </row>
    <row r="5" ht="12.75">
      <c r="C5" s="21" t="s">
        <v>49</v>
      </c>
    </row>
    <row r="6" spans="1:3" ht="12.75">
      <c r="A6" s="26" t="s">
        <v>389</v>
      </c>
      <c r="B6" s="17" t="s">
        <v>327</v>
      </c>
      <c r="C6" s="21">
        <v>-1650111.41</v>
      </c>
    </row>
    <row r="7" spans="1:3" ht="12.75">
      <c r="A7" s="26" t="s">
        <v>389</v>
      </c>
      <c r="B7" s="17" t="s">
        <v>329</v>
      </c>
      <c r="C7" s="21">
        <v>-2621904.55</v>
      </c>
    </row>
    <row r="8" spans="1:3" ht="12.75">
      <c r="A8" s="26" t="s">
        <v>389</v>
      </c>
      <c r="B8" s="17" t="s">
        <v>332</v>
      </c>
      <c r="C8" s="21">
        <v>-1996064.85</v>
      </c>
    </row>
    <row r="9" spans="1:3" ht="12.75">
      <c r="A9" s="26" t="s">
        <v>389</v>
      </c>
      <c r="B9" s="17" t="s">
        <v>333</v>
      </c>
      <c r="C9" s="21">
        <v>-1260175.3</v>
      </c>
    </row>
    <row r="10" spans="1:3" ht="12.75">
      <c r="A10" s="26" t="s">
        <v>389</v>
      </c>
      <c r="B10" s="17" t="s">
        <v>334</v>
      </c>
      <c r="C10" s="21">
        <v>-2038762.83</v>
      </c>
    </row>
    <row r="11" spans="1:3" ht="12.75">
      <c r="A11" s="26" t="s">
        <v>389</v>
      </c>
      <c r="B11" s="17" t="s">
        <v>426</v>
      </c>
      <c r="C11" s="21">
        <v>-3036369</v>
      </c>
    </row>
    <row r="12" spans="1:3" ht="12.75">
      <c r="A12" s="26" t="s">
        <v>389</v>
      </c>
      <c r="B12" s="17" t="s">
        <v>427</v>
      </c>
      <c r="C12" s="21">
        <v>-2603882.3</v>
      </c>
    </row>
    <row r="13" spans="1:3" ht="12.75">
      <c r="A13" s="26" t="s">
        <v>389</v>
      </c>
      <c r="B13" s="17" t="s">
        <v>428</v>
      </c>
      <c r="C13" s="21">
        <v>-1060150.23</v>
      </c>
    </row>
    <row r="14" spans="1:3" ht="12.75">
      <c r="A14" s="26" t="s">
        <v>389</v>
      </c>
      <c r="B14" s="17" t="s">
        <v>429</v>
      </c>
      <c r="C14" s="21">
        <v>-2053669.19</v>
      </c>
    </row>
    <row r="15" spans="1:3" ht="12.75">
      <c r="A15" s="26" t="s">
        <v>389</v>
      </c>
      <c r="B15" s="17" t="s">
        <v>430</v>
      </c>
      <c r="C15" s="21">
        <v>-1671784.75</v>
      </c>
    </row>
    <row r="16" spans="1:3" ht="12.75">
      <c r="A16" s="26" t="s">
        <v>389</v>
      </c>
      <c r="B16" s="17" t="s">
        <v>431</v>
      </c>
      <c r="C16" s="21">
        <v>-1863115.24</v>
      </c>
    </row>
    <row r="17" spans="1:3" ht="12.75">
      <c r="A17" s="26" t="s">
        <v>389</v>
      </c>
      <c r="B17" s="17" t="s">
        <v>432</v>
      </c>
      <c r="C17" s="68">
        <v>-2049799.38</v>
      </c>
    </row>
    <row r="18" spans="2:3" ht="12.75">
      <c r="B18" s="17" t="s">
        <v>390</v>
      </c>
      <c r="C18" s="21">
        <f>SUM(C6:C17)</f>
        <v>-23905789.03</v>
      </c>
    </row>
    <row r="19" spans="1:3" ht="12.75">
      <c r="A19" s="26" t="s">
        <v>389</v>
      </c>
      <c r="B19" s="17" t="s">
        <v>391</v>
      </c>
      <c r="C19" s="21">
        <v>-32810992</v>
      </c>
    </row>
    <row r="20" spans="2:3" ht="13.5" thickBot="1">
      <c r="B20" s="17" t="s">
        <v>392</v>
      </c>
      <c r="C20" s="22">
        <f>+C19-C18</f>
        <v>-8905202.969999999</v>
      </c>
    </row>
    <row r="21" ht="13.5" thickBot="1"/>
    <row r="22" spans="2:3" ht="13.5" thickBot="1">
      <c r="B22" s="17" t="s">
        <v>393</v>
      </c>
      <c r="C22" s="69">
        <f>+C20*0.2968</f>
        <v>-2643064.2414959995</v>
      </c>
    </row>
    <row r="25" spans="2:4" ht="12.75">
      <c r="B25" t="s">
        <v>394</v>
      </c>
      <c r="D25" s="5">
        <f>-C22</f>
        <v>2643064.2414959995</v>
      </c>
    </row>
    <row r="27" spans="2:5" ht="12.75">
      <c r="B27" t="s">
        <v>395</v>
      </c>
      <c r="E27" s="5">
        <f>+D25</f>
        <v>2643064.2414959995</v>
      </c>
    </row>
    <row r="29" ht="12.75">
      <c r="B29" s="8" t="s">
        <v>396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B3">
      <selection activeCell="I19" sqref="I19"/>
    </sheetView>
  </sheetViews>
  <sheetFormatPr defaultColWidth="9.33203125" defaultRowHeight="12.75"/>
  <cols>
    <col min="1" max="1" width="37.83203125" style="0" customWidth="1"/>
    <col min="2" max="2" width="3" style="0" customWidth="1"/>
    <col min="3" max="3" width="14.5" style="21" customWidth="1"/>
    <col min="4" max="4" width="3" style="0" customWidth="1"/>
    <col min="5" max="5" width="14.5" style="21" customWidth="1"/>
    <col min="6" max="6" width="2.83203125" style="0" customWidth="1"/>
    <col min="7" max="7" width="13.5" style="0" customWidth="1"/>
    <col min="8" max="8" width="2.33203125" style="0" customWidth="1"/>
    <col min="9" max="9" width="8.33203125" style="0" customWidth="1"/>
    <col min="10" max="10" width="2.5" style="0" customWidth="1"/>
    <col min="11" max="11" width="12" style="0" customWidth="1"/>
  </cols>
  <sheetData>
    <row r="2" ht="12.75">
      <c r="A2" s="7" t="s">
        <v>229</v>
      </c>
    </row>
    <row r="4" ht="12.75">
      <c r="A4" s="7" t="s">
        <v>215</v>
      </c>
    </row>
    <row r="5" spans="3:11" ht="12.75">
      <c r="C5" s="43" t="s">
        <v>410</v>
      </c>
      <c r="D5" s="20"/>
      <c r="E5" s="43" t="s">
        <v>409</v>
      </c>
      <c r="F5" s="20"/>
      <c r="G5" s="20" t="s">
        <v>303</v>
      </c>
      <c r="H5" s="20"/>
      <c r="I5" s="20" t="s">
        <v>304</v>
      </c>
      <c r="J5" s="20"/>
      <c r="K5" s="20" t="s">
        <v>219</v>
      </c>
    </row>
    <row r="7" spans="1:11" ht="12.75">
      <c r="A7" t="s">
        <v>305</v>
      </c>
      <c r="C7" s="45">
        <v>32364500</v>
      </c>
      <c r="D7" s="45"/>
      <c r="E7" s="45">
        <v>5606250</v>
      </c>
      <c r="F7" s="45"/>
      <c r="G7" s="45">
        <v>12000</v>
      </c>
      <c r="H7" s="45"/>
      <c r="I7" s="45">
        <v>20410</v>
      </c>
      <c r="K7" s="5">
        <f>+C7+E7+G7+I7</f>
        <v>38003160</v>
      </c>
    </row>
    <row r="9" spans="1:11" ht="12.75">
      <c r="A9" t="s">
        <v>306</v>
      </c>
      <c r="C9" s="2" t="e">
        <f>SUM(C10:C14)</f>
        <v>#REF!</v>
      </c>
      <c r="E9" s="2" t="e">
        <f>SUM(E10:E14)</f>
        <v>#REF!</v>
      </c>
      <c r="G9" s="2">
        <f>SUM(G10:G14)</f>
        <v>-12000</v>
      </c>
      <c r="I9" s="2">
        <f>SUM(I10:I14)</f>
        <v>0</v>
      </c>
      <c r="K9" s="5" t="e">
        <f>+C9+E9+G9+I9</f>
        <v>#REF!</v>
      </c>
    </row>
    <row r="10" spans="1:11" ht="12.75">
      <c r="A10" s="26" t="s">
        <v>307</v>
      </c>
      <c r="C10" s="54">
        <v>17332294</v>
      </c>
      <c r="D10" s="55"/>
      <c r="E10" s="56">
        <f>19389669+676114-117439</f>
        <v>19948344</v>
      </c>
      <c r="F10" s="55"/>
      <c r="G10" s="57">
        <v>-12000</v>
      </c>
      <c r="H10" s="55"/>
      <c r="I10" s="57">
        <v>0</v>
      </c>
      <c r="J10" s="55"/>
      <c r="K10" s="58">
        <f>+C10+E10+G10+I10</f>
        <v>37268638</v>
      </c>
    </row>
    <row r="11" spans="1:11" ht="12.75">
      <c r="A11" s="26" t="s">
        <v>310</v>
      </c>
      <c r="C11" s="59">
        <f>-(3030453+6620982.01*0.4254)-364242</f>
        <v>-6211260.747053999</v>
      </c>
      <c r="D11" s="60"/>
      <c r="E11" s="61">
        <f>-8142755.324008-686195</f>
        <v>-8828950.324008</v>
      </c>
      <c r="F11" s="60"/>
      <c r="G11" s="62"/>
      <c r="H11" s="60"/>
      <c r="I11" s="62"/>
      <c r="J11" s="60"/>
      <c r="K11" s="63">
        <f>+C11+E11+G11+I11</f>
        <v>-15040211.071061999</v>
      </c>
    </row>
    <row r="12" spans="1:11" ht="12.75">
      <c r="A12" s="26" t="s">
        <v>8</v>
      </c>
      <c r="C12" s="59">
        <v>-11380936</v>
      </c>
      <c r="D12" s="60"/>
      <c r="E12" s="61">
        <v>-7781276</v>
      </c>
      <c r="F12" s="60"/>
      <c r="G12" s="62"/>
      <c r="H12" s="60"/>
      <c r="I12" s="62"/>
      <c r="J12" s="60"/>
      <c r="K12" s="63">
        <f>+C12+E12+G12+I12</f>
        <v>-19162212</v>
      </c>
    </row>
    <row r="13" spans="1:11" ht="12.75">
      <c r="A13" s="26" t="s">
        <v>376</v>
      </c>
      <c r="C13" s="59" t="e">
        <f>-#REF!+1</f>
        <v>#REF!</v>
      </c>
      <c r="D13" s="60"/>
      <c r="E13" s="61" t="e">
        <f>-#REF!-#REF!</f>
        <v>#REF!</v>
      </c>
      <c r="F13" s="60"/>
      <c r="G13" s="62"/>
      <c r="H13" s="60"/>
      <c r="I13" s="62"/>
      <c r="J13" s="60"/>
      <c r="K13" s="63"/>
    </row>
    <row r="14" spans="1:11" ht="12.75">
      <c r="A14" s="26" t="s">
        <v>308</v>
      </c>
      <c r="C14" s="64" t="e">
        <f>-#REF!</f>
        <v>#REF!</v>
      </c>
      <c r="D14" s="65"/>
      <c r="E14" s="66" t="e">
        <f>-#REF!-#REF!</f>
        <v>#REF!</v>
      </c>
      <c r="F14" s="65"/>
      <c r="G14" s="66"/>
      <c r="H14" s="65"/>
      <c r="I14" s="66"/>
      <c r="J14" s="65"/>
      <c r="K14" s="67" t="e">
        <f>+C14+E14+G14+I14</f>
        <v>#REF!</v>
      </c>
    </row>
    <row r="15" spans="1:9" ht="12.75">
      <c r="A15" s="26"/>
      <c r="C15" s="12"/>
      <c r="E15" s="2"/>
      <c r="G15" s="2"/>
      <c r="I15" s="2"/>
    </row>
    <row r="16" spans="1:11" ht="12.75">
      <c r="A16" t="s">
        <v>309</v>
      </c>
      <c r="C16" s="12">
        <v>0</v>
      </c>
      <c r="E16" s="12">
        <f>11653453-203863+253860-781707</f>
        <v>10921743</v>
      </c>
      <c r="G16" s="2">
        <v>0</v>
      </c>
      <c r="I16" s="2">
        <v>0</v>
      </c>
      <c r="K16" s="5">
        <f>+C16+E16+G16+I16</f>
        <v>10921743</v>
      </c>
    </row>
    <row r="17" spans="1:11" ht="12.75">
      <c r="A17" t="s">
        <v>311</v>
      </c>
      <c r="C17" s="2">
        <v>-4138600</v>
      </c>
      <c r="E17" s="2"/>
      <c r="K17" s="5">
        <f>+C17+E17+G17+I17</f>
        <v>-4138600</v>
      </c>
    </row>
    <row r="18" spans="3:11" ht="13.5" thickBot="1">
      <c r="C18" s="3" t="e">
        <f>+C7+C9+C16+C17</f>
        <v>#REF!</v>
      </c>
      <c r="D18" s="5"/>
      <c r="E18" s="3" t="e">
        <f>+E7+E9+E16+E17</f>
        <v>#REF!</v>
      </c>
      <c r="F18" s="5"/>
      <c r="G18" s="3">
        <f>+G7+G9+G16</f>
        <v>0</v>
      </c>
      <c r="H18" s="5"/>
      <c r="I18" s="3">
        <f>+I7+I9+I16</f>
        <v>20410</v>
      </c>
      <c r="K18" s="3" t="e">
        <f>+K7+K9+K16+K17</f>
        <v>#REF!</v>
      </c>
    </row>
    <row r="20" spans="1:5" ht="12.75">
      <c r="A20" t="s">
        <v>193</v>
      </c>
      <c r="C20" s="2" t="e">
        <f>+C14</f>
        <v>#REF!</v>
      </c>
      <c r="D20" s="2"/>
      <c r="E20" s="2" t="e">
        <f>+E14</f>
        <v>#REF!</v>
      </c>
    </row>
    <row r="23" ht="12.75">
      <c r="A23" s="7" t="s">
        <v>193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2" sqref="F12"/>
    </sheetView>
  </sheetViews>
  <sheetFormatPr defaultColWidth="9.33203125" defaultRowHeight="12.75"/>
  <cols>
    <col min="1" max="1" width="16.66015625" style="0" customWidth="1"/>
    <col min="4" max="4" width="10.33203125" style="0" customWidth="1"/>
  </cols>
  <sheetData>
    <row r="1" ht="12.75">
      <c r="A1" s="7" t="s">
        <v>221</v>
      </c>
    </row>
    <row r="2" ht="12.75">
      <c r="A2" s="7"/>
    </row>
    <row r="3" ht="12.75">
      <c r="A3" s="7" t="s">
        <v>142</v>
      </c>
    </row>
    <row r="5" spans="2:4" ht="25.5">
      <c r="B5" s="40" t="s">
        <v>148</v>
      </c>
      <c r="C5" s="40" t="s">
        <v>149</v>
      </c>
      <c r="D5" s="40" t="s">
        <v>150</v>
      </c>
    </row>
    <row r="6" ht="12.75">
      <c r="A6" s="11"/>
    </row>
    <row r="7" spans="1:4" ht="12.75">
      <c r="A7" s="26" t="s">
        <v>143</v>
      </c>
      <c r="B7" s="2">
        <f>390+537+300</f>
        <v>1227</v>
      </c>
      <c r="C7" s="21">
        <v>52</v>
      </c>
      <c r="D7" s="51">
        <f>+B7*C7</f>
        <v>63804</v>
      </c>
    </row>
    <row r="8" spans="1:4" ht="12.75">
      <c r="A8" s="26" t="s">
        <v>144</v>
      </c>
      <c r="B8" s="2">
        <f>33+38</f>
        <v>71</v>
      </c>
      <c r="C8" s="21">
        <v>61.16</v>
      </c>
      <c r="D8" s="51">
        <f>+B8*C8</f>
        <v>4342.36</v>
      </c>
    </row>
    <row r="9" spans="1:4" ht="12.75">
      <c r="A9" s="26" t="s">
        <v>145</v>
      </c>
      <c r="B9" s="2">
        <f>274+455+110</f>
        <v>839</v>
      </c>
      <c r="C9" s="21">
        <v>34.43</v>
      </c>
      <c r="D9" s="51">
        <f>+B9*C9</f>
        <v>28886.77</v>
      </c>
    </row>
    <row r="10" spans="1:4" ht="12.75">
      <c r="A10" s="26" t="s">
        <v>146</v>
      </c>
      <c r="B10" s="2">
        <f>299+455+160</f>
        <v>914</v>
      </c>
      <c r="C10" s="21">
        <v>6.67</v>
      </c>
      <c r="D10" s="51">
        <f>+B10*C10</f>
        <v>6096.38</v>
      </c>
    </row>
    <row r="11" spans="1:4" ht="12.75">
      <c r="A11" s="26" t="s">
        <v>147</v>
      </c>
      <c r="B11" s="2">
        <f>114+83+4122</f>
        <v>4319</v>
      </c>
      <c r="C11" s="21">
        <v>0.7</v>
      </c>
      <c r="D11" s="51">
        <f>+B11*C11</f>
        <v>3023.2999999999997</v>
      </c>
    </row>
    <row r="12" spans="1:4" ht="13.5" thickBot="1">
      <c r="A12" s="15" t="s">
        <v>219</v>
      </c>
      <c r="D12" s="52">
        <f>SUM(D7:D11)</f>
        <v>106152.81000000001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33203125" defaultRowHeight="12.75"/>
  <cols>
    <col min="1" max="1" width="2.33203125" style="0" customWidth="1"/>
    <col min="2" max="2" width="43.83203125" style="0" customWidth="1"/>
    <col min="3" max="3" width="10.33203125" style="0" customWidth="1"/>
  </cols>
  <sheetData>
    <row r="1" ht="12.75">
      <c r="A1" t="s">
        <v>102</v>
      </c>
    </row>
    <row r="2" ht="12.75">
      <c r="B2" t="s">
        <v>103</v>
      </c>
    </row>
    <row r="4" ht="12.75">
      <c r="A4" s="7" t="s">
        <v>46</v>
      </c>
    </row>
    <row r="6" ht="12.75">
      <c r="A6" t="s">
        <v>47</v>
      </c>
    </row>
    <row r="7" ht="12.75">
      <c r="A7" t="s">
        <v>48</v>
      </c>
    </row>
    <row r="9" ht="12.75">
      <c r="C9" s="15" t="s">
        <v>49</v>
      </c>
    </row>
    <row r="10" spans="2:3" ht="12.75">
      <c r="B10" t="s">
        <v>50</v>
      </c>
      <c r="C10" s="2">
        <v>47269</v>
      </c>
    </row>
    <row r="11" spans="2:3" ht="12.75">
      <c r="B11" t="s">
        <v>51</v>
      </c>
      <c r="C11" s="4">
        <v>-1625</v>
      </c>
    </row>
    <row r="12" spans="2:3" ht="12.75">
      <c r="B12" t="s">
        <v>52</v>
      </c>
      <c r="C12" s="5">
        <f>SUM(C10:C11)</f>
        <v>45644</v>
      </c>
    </row>
    <row r="13" spans="2:3" ht="12.75">
      <c r="B13" t="s">
        <v>99</v>
      </c>
      <c r="C13" s="4">
        <v>54356</v>
      </c>
    </row>
    <row r="14" ht="12.75">
      <c r="C14" s="5">
        <f>+C12+C13</f>
        <v>100000</v>
      </c>
    </row>
    <row r="15" spans="2:3" ht="12.75">
      <c r="B15" t="s">
        <v>100</v>
      </c>
      <c r="C15" s="2">
        <v>-7290</v>
      </c>
    </row>
    <row r="16" spans="2:3" ht="13.5" thickBot="1">
      <c r="B16" t="s">
        <v>101</v>
      </c>
      <c r="C16" s="19">
        <f>+C14+C15</f>
        <v>92710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"/>
    </sheetView>
  </sheetViews>
  <sheetFormatPr defaultColWidth="9.33203125" defaultRowHeight="12.75"/>
  <cols>
    <col min="1" max="1" width="28" style="0" customWidth="1"/>
    <col min="2" max="2" width="12.33203125" style="12" customWidth="1"/>
    <col min="3" max="3" width="2" style="12" customWidth="1"/>
    <col min="4" max="4" width="12.33203125" style="12" customWidth="1"/>
    <col min="5" max="5" width="2.66015625" style="0" customWidth="1"/>
  </cols>
  <sheetData>
    <row r="1" ht="12.75">
      <c r="A1" s="7" t="s">
        <v>229</v>
      </c>
    </row>
    <row r="2" ht="12.75">
      <c r="A2" s="7"/>
    </row>
    <row r="3" ht="12.75">
      <c r="A3" s="7" t="s">
        <v>384</v>
      </c>
    </row>
    <row r="4" ht="12.75">
      <c r="A4" s="7"/>
    </row>
    <row r="5" spans="2:4" ht="12.75">
      <c r="B5" s="16" t="s">
        <v>410</v>
      </c>
      <c r="C5" s="16" t="s">
        <v>193</v>
      </c>
      <c r="D5" s="16" t="s">
        <v>409</v>
      </c>
    </row>
    <row r="7" spans="1:4" ht="12.75">
      <c r="A7" t="s">
        <v>206</v>
      </c>
      <c r="B7" s="12">
        <v>32364500</v>
      </c>
      <c r="D7" s="12">
        <v>5606250</v>
      </c>
    </row>
    <row r="9" ht="12.75">
      <c r="A9" t="s">
        <v>207</v>
      </c>
    </row>
    <row r="10" spans="1:4" ht="12.75">
      <c r="A10" s="26" t="s">
        <v>208</v>
      </c>
      <c r="B10" s="32">
        <v>17332294</v>
      </c>
      <c r="D10" s="32">
        <v>20065783</v>
      </c>
    </row>
    <row r="11" spans="1:4" ht="12.75">
      <c r="A11" s="26" t="s">
        <v>209</v>
      </c>
      <c r="B11" s="35">
        <v>-3030453</v>
      </c>
      <c r="D11" s="35">
        <v>-4728371</v>
      </c>
    </row>
    <row r="12" spans="1:4" ht="12.75">
      <c r="A12" s="26" t="s">
        <v>335</v>
      </c>
      <c r="B12" s="33">
        <v>0</v>
      </c>
      <c r="D12" s="33">
        <v>-117439</v>
      </c>
    </row>
    <row r="13" spans="2:4" ht="12.75">
      <c r="B13" s="12">
        <f>SUM(B10:B12)</f>
        <v>14301841</v>
      </c>
      <c r="D13" s="12">
        <f>SUM(D10:D12)</f>
        <v>15219973</v>
      </c>
    </row>
    <row r="15" ht="12.75">
      <c r="A15" t="s">
        <v>210</v>
      </c>
    </row>
    <row r="16" spans="1:4" ht="12.75">
      <c r="A16" s="26" t="s">
        <v>385</v>
      </c>
      <c r="B16" s="32">
        <v>0</v>
      </c>
      <c r="D16" s="32">
        <f>11653453-203863</f>
        <v>11449590</v>
      </c>
    </row>
    <row r="17" spans="1:4" ht="12.75">
      <c r="A17" s="26" t="s">
        <v>335</v>
      </c>
      <c r="B17" s="33">
        <v>0</v>
      </c>
      <c r="D17" s="33">
        <v>-122129</v>
      </c>
    </row>
    <row r="18" spans="1:4" ht="12.75">
      <c r="A18" s="26"/>
      <c r="B18" s="12">
        <f>SUM(B16:B17)</f>
        <v>0</v>
      </c>
      <c r="D18" s="12">
        <f>SUM(D16:D17)</f>
        <v>11327461</v>
      </c>
    </row>
    <row r="19" ht="12.75">
      <c r="A19" s="26"/>
    </row>
    <row r="20" spans="1:4" ht="12.75">
      <c r="A20" t="s">
        <v>336</v>
      </c>
      <c r="B20" s="12">
        <v>0</v>
      </c>
      <c r="D20" s="12">
        <v>375989</v>
      </c>
    </row>
    <row r="22" spans="2:4" ht="13.5" thickBot="1">
      <c r="B22" s="27">
        <f>+B7+B13+B18+B20</f>
        <v>46666341</v>
      </c>
      <c r="D22" s="27">
        <f>+D7+D13+D18+D20</f>
        <v>32529673</v>
      </c>
    </row>
    <row r="24" spans="1:4" ht="12.75">
      <c r="A24" t="s">
        <v>211</v>
      </c>
      <c r="B24" s="12">
        <v>42163099</v>
      </c>
      <c r="D24" s="12">
        <v>33408478</v>
      </c>
    </row>
    <row r="25" spans="1:4" ht="12.75">
      <c r="A25" t="s">
        <v>212</v>
      </c>
      <c r="B25" s="12">
        <v>4139000</v>
      </c>
      <c r="D25" s="12">
        <v>-1565000</v>
      </c>
    </row>
    <row r="26" spans="2:4" ht="13.5" thickBot="1">
      <c r="B26" s="27">
        <f>SUM(B24:B25)</f>
        <v>46302099</v>
      </c>
      <c r="D26" s="27">
        <f>SUM(D24:D25)</f>
        <v>31843478</v>
      </c>
    </row>
    <row r="28" spans="1:4" ht="12.75">
      <c r="A28" t="s">
        <v>213</v>
      </c>
      <c r="B28" s="34">
        <f>+B22-B26</f>
        <v>364242</v>
      </c>
      <c r="D28" s="34">
        <f>+D22-D26</f>
        <v>686195</v>
      </c>
    </row>
    <row r="31" ht="12.75">
      <c r="A31" s="11" t="s">
        <v>339</v>
      </c>
    </row>
    <row r="33" spans="2:6" ht="38.25">
      <c r="B33" s="36" t="s">
        <v>338</v>
      </c>
      <c r="C33" s="37"/>
      <c r="D33" s="36" t="s">
        <v>337</v>
      </c>
      <c r="F33" s="40" t="s">
        <v>440</v>
      </c>
    </row>
    <row r="35" spans="1:4" ht="13.5" thickBot="1">
      <c r="A35" t="s">
        <v>340</v>
      </c>
      <c r="B35" s="38">
        <f>+D35-1655402</f>
        <v>110906856</v>
      </c>
      <c r="D35" s="38">
        <v>112562258</v>
      </c>
    </row>
    <row r="37" spans="1:4" ht="12.75">
      <c r="A37" t="s">
        <v>438</v>
      </c>
      <c r="B37" s="39">
        <v>0.3</v>
      </c>
      <c r="C37" s="39"/>
      <c r="D37" s="39">
        <v>0.2968</v>
      </c>
    </row>
    <row r="39" spans="1:6" ht="13.5" thickBot="1">
      <c r="A39" t="s">
        <v>439</v>
      </c>
      <c r="B39" s="38">
        <f>+B35*B37</f>
        <v>33272056.799999997</v>
      </c>
      <c r="D39" s="38">
        <f>+D35*D37</f>
        <v>33408478.1744</v>
      </c>
      <c r="F39" s="41">
        <f>+D39-B39</f>
        <v>136421.37440000474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1" sqref="A1"/>
    </sheetView>
  </sheetViews>
  <sheetFormatPr defaultColWidth="9.33203125" defaultRowHeight="12.75"/>
  <cols>
    <col min="1" max="1" width="48.16015625" style="0" customWidth="1"/>
    <col min="2" max="2" width="13" style="2" customWidth="1"/>
    <col min="3" max="3" width="10.33203125" style="2" customWidth="1"/>
  </cols>
  <sheetData>
    <row r="1" ht="12.75">
      <c r="A1" s="1" t="e">
        <f>+#REF!</f>
        <v>#REF!</v>
      </c>
    </row>
    <row r="3" ht="12.75">
      <c r="A3" s="7" t="s">
        <v>436</v>
      </c>
    </row>
    <row r="5" spans="2:3" ht="12.75">
      <c r="B5" s="16" t="s">
        <v>104</v>
      </c>
      <c r="C5" s="16" t="s">
        <v>29</v>
      </c>
    </row>
    <row r="7" spans="1:3" ht="12.75">
      <c r="A7" t="s">
        <v>437</v>
      </c>
      <c r="B7" s="2">
        <v>2256825.26</v>
      </c>
      <c r="C7" s="2">
        <f>2150717.04+96675</f>
        <v>2247392.04</v>
      </c>
    </row>
    <row r="8" spans="1:3" ht="12.75">
      <c r="A8" t="s">
        <v>9</v>
      </c>
      <c r="B8" s="4">
        <v>1770005.8</v>
      </c>
      <c r="C8" s="2">
        <v>931582</v>
      </c>
    </row>
    <row r="9" spans="2:3" ht="12.75">
      <c r="B9" s="2">
        <f>+B7+B8</f>
        <v>4026831.0599999996</v>
      </c>
      <c r="C9" s="2">
        <f>+C7+C8</f>
        <v>3178974.04</v>
      </c>
    </row>
    <row r="10" spans="1:3" ht="12.75">
      <c r="A10" t="s">
        <v>10</v>
      </c>
      <c r="B10" s="2">
        <f>4093889.15+215467.85</f>
        <v>4309357</v>
      </c>
      <c r="C10" s="2">
        <v>2154678.5</v>
      </c>
    </row>
    <row r="11" spans="1:3" ht="13.5" thickBot="1">
      <c r="A11" t="s">
        <v>11</v>
      </c>
      <c r="B11" s="3">
        <f>+B9-B10</f>
        <v>-282525.9400000004</v>
      </c>
      <c r="C11" s="3">
        <f>+C9-C10</f>
        <v>1024295.54</v>
      </c>
    </row>
    <row r="15" spans="1:3" ht="13.5" thickBot="1">
      <c r="A15" t="s">
        <v>131</v>
      </c>
      <c r="B15" s="50">
        <f>4093889.15-2154678.5</f>
        <v>1939210.65</v>
      </c>
      <c r="C15" s="50">
        <v>2154678.5</v>
      </c>
    </row>
    <row r="17" spans="1:3" ht="13.5" thickBot="1">
      <c r="A17" t="s">
        <v>132</v>
      </c>
      <c r="B17" s="50">
        <f>2323883.35-1223096.5</f>
        <v>1100786.85</v>
      </c>
      <c r="C17" s="50">
        <v>1223096.5</v>
      </c>
    </row>
    <row r="19" spans="1:3" ht="13.5" thickBot="1">
      <c r="A19" t="s">
        <v>12</v>
      </c>
      <c r="B19" s="50">
        <v>0</v>
      </c>
      <c r="C19" s="50">
        <v>0</v>
      </c>
    </row>
    <row r="21" spans="1:3" ht="13.5" thickBot="1">
      <c r="A21" t="s">
        <v>13</v>
      </c>
      <c r="B21" s="50">
        <v>0</v>
      </c>
      <c r="C21" s="50">
        <v>0</v>
      </c>
    </row>
    <row r="24" ht="12.75">
      <c r="A24" s="11" t="s">
        <v>133</v>
      </c>
    </row>
    <row r="26" spans="1:2" ht="12.75">
      <c r="A26" t="s">
        <v>134</v>
      </c>
      <c r="B26" s="2">
        <v>194000</v>
      </c>
    </row>
    <row r="27" spans="1:3" ht="12.75">
      <c r="A27" t="s">
        <v>135</v>
      </c>
      <c r="C27" s="2">
        <f>+B26</f>
        <v>194000</v>
      </c>
    </row>
    <row r="28" ht="12.75">
      <c r="A28" s="8" t="s">
        <v>136</v>
      </c>
    </row>
    <row r="30" spans="1:2" ht="12.75">
      <c r="A30" t="s">
        <v>137</v>
      </c>
      <c r="B30" s="2">
        <v>168096.37</v>
      </c>
    </row>
    <row r="31" spans="1:2" ht="12.75">
      <c r="A31" t="s">
        <v>139</v>
      </c>
      <c r="B31" s="2">
        <f>15966.44+73796.88+24666.25</f>
        <v>114429.57</v>
      </c>
    </row>
    <row r="32" spans="1:3" ht="12.75">
      <c r="A32" t="s">
        <v>138</v>
      </c>
      <c r="C32" s="2">
        <v>282526</v>
      </c>
    </row>
    <row r="33" spans="1:2" ht="12.75">
      <c r="A33" s="8" t="s">
        <v>140</v>
      </c>
      <c r="B33" s="9" t="s">
        <v>193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33203125" defaultRowHeight="12.75"/>
  <cols>
    <col min="1" max="1" width="4" style="0" customWidth="1"/>
    <col min="2" max="2" width="48.66015625" style="0" customWidth="1"/>
    <col min="3" max="3" width="9.33203125" style="2" customWidth="1"/>
    <col min="4" max="4" width="10.33203125" style="2" customWidth="1"/>
    <col min="5" max="6" width="8.83203125" style="2" customWidth="1"/>
    <col min="7" max="7" width="9.33203125" style="2" customWidth="1"/>
    <col min="8" max="8" width="8.33203125" style="2" customWidth="1"/>
    <col min="9" max="9" width="8.83203125" style="2" customWidth="1"/>
    <col min="10" max="10" width="9" style="2" customWidth="1"/>
    <col min="12" max="13" width="10.33203125" style="0" customWidth="1"/>
  </cols>
  <sheetData>
    <row r="1" ht="12.75">
      <c r="A1" s="7" t="s">
        <v>229</v>
      </c>
    </row>
    <row r="2" ht="12.75">
      <c r="A2" s="7"/>
    </row>
    <row r="3" ht="12.75">
      <c r="A3" s="7" t="s">
        <v>18</v>
      </c>
    </row>
    <row r="5" spans="3:13" s="15" customFormat="1" ht="12.75">
      <c r="C5" s="12" t="s">
        <v>375</v>
      </c>
      <c r="D5" s="12" t="s">
        <v>408</v>
      </c>
      <c r="E5" s="12" t="s">
        <v>179</v>
      </c>
      <c r="F5" s="10" t="s">
        <v>80</v>
      </c>
      <c r="G5" s="12" t="s">
        <v>180</v>
      </c>
      <c r="H5" s="10" t="s">
        <v>314</v>
      </c>
      <c r="I5" s="10" t="s">
        <v>195</v>
      </c>
      <c r="J5" s="10" t="s">
        <v>423</v>
      </c>
      <c r="K5" s="10" t="s">
        <v>218</v>
      </c>
      <c r="L5" s="10" t="s">
        <v>83</v>
      </c>
      <c r="M5" s="10" t="s">
        <v>219</v>
      </c>
    </row>
    <row r="7" spans="1:13" ht="12.75">
      <c r="A7">
        <v>1</v>
      </c>
      <c r="B7" t="s">
        <v>313</v>
      </c>
      <c r="C7" s="2">
        <v>724760.9</v>
      </c>
      <c r="D7" s="2">
        <v>7644</v>
      </c>
      <c r="E7" s="2">
        <v>203971.32</v>
      </c>
      <c r="F7" s="2">
        <v>0</v>
      </c>
      <c r="H7" s="2">
        <v>11831.16</v>
      </c>
      <c r="I7" s="2">
        <f>158101.37+38079.04</f>
        <v>196180.41</v>
      </c>
      <c r="J7" s="2">
        <v>5000</v>
      </c>
      <c r="K7" s="9"/>
      <c r="L7" s="9"/>
      <c r="M7" s="5">
        <f>SUM(C7:L7)</f>
        <v>1149387.79</v>
      </c>
    </row>
    <row r="8" spans="1:13" ht="12.75">
      <c r="A8">
        <v>2</v>
      </c>
      <c r="B8" t="s">
        <v>256</v>
      </c>
      <c r="C8" s="2">
        <v>4598</v>
      </c>
      <c r="D8" s="2">
        <v>1400</v>
      </c>
      <c r="E8" s="2">
        <v>4320</v>
      </c>
      <c r="F8" s="2">
        <v>1900</v>
      </c>
      <c r="G8" s="2">
        <v>10510</v>
      </c>
      <c r="I8" s="2">
        <v>2480</v>
      </c>
      <c r="M8" s="5">
        <f>SUM(C8:L8)</f>
        <v>25208</v>
      </c>
    </row>
    <row r="9" spans="1:13" ht="12.75">
      <c r="A9">
        <v>3</v>
      </c>
      <c r="B9" t="s">
        <v>257</v>
      </c>
      <c r="C9" s="2">
        <v>2849</v>
      </c>
      <c r="D9" s="2">
        <f>17528.29+751.1</f>
        <v>18279.39</v>
      </c>
      <c r="E9" s="2">
        <f>5833.5+14991</f>
        <v>20824.5</v>
      </c>
      <c r="F9" s="2">
        <f>2770+3000</f>
        <v>5770</v>
      </c>
      <c r="G9" s="2">
        <f>10933.77+28917.5+4000</f>
        <v>43851.270000000004</v>
      </c>
      <c r="I9" s="2">
        <v>18516.76</v>
      </c>
      <c r="K9">
        <v>31700</v>
      </c>
      <c r="M9" s="5">
        <f>SUM(C9:L9)</f>
        <v>141790.91999999998</v>
      </c>
    </row>
    <row r="10" spans="1:13" ht="12.75">
      <c r="A10">
        <v>4</v>
      </c>
      <c r="B10" t="s">
        <v>19</v>
      </c>
      <c r="C10" s="2">
        <v>0</v>
      </c>
      <c r="D10" s="2">
        <v>19957.69</v>
      </c>
      <c r="G10" s="2">
        <v>970.79</v>
      </c>
      <c r="I10" s="2">
        <v>168957.94</v>
      </c>
      <c r="M10" s="5">
        <f>SUM(C10:L10)</f>
        <v>189886.42</v>
      </c>
    </row>
    <row r="11" spans="3:13" ht="13.5" thickBot="1">
      <c r="C11" s="19">
        <f aca="true" t="shared" si="0" ref="C11:L11">SUM(C7:C10)</f>
        <v>732207.9</v>
      </c>
      <c r="D11" s="19">
        <f t="shared" si="0"/>
        <v>47281.08</v>
      </c>
      <c r="E11" s="19">
        <f t="shared" si="0"/>
        <v>229115.82</v>
      </c>
      <c r="F11" s="19">
        <f t="shared" si="0"/>
        <v>7670</v>
      </c>
      <c r="G11" s="19">
        <f t="shared" si="0"/>
        <v>55332.060000000005</v>
      </c>
      <c r="H11" s="19">
        <f t="shared" si="0"/>
        <v>11831.16</v>
      </c>
      <c r="I11" s="19">
        <f t="shared" si="0"/>
        <v>386135.11</v>
      </c>
      <c r="J11" s="19">
        <f t="shared" si="0"/>
        <v>5000</v>
      </c>
      <c r="K11" s="19">
        <f t="shared" si="0"/>
        <v>31700</v>
      </c>
      <c r="L11" s="19">
        <f t="shared" si="0"/>
        <v>0</v>
      </c>
      <c r="M11" s="19">
        <f>SUM(M7:M10)</f>
        <v>1506273.13</v>
      </c>
    </row>
    <row r="12" ht="12.75">
      <c r="A12" s="7" t="s">
        <v>22</v>
      </c>
    </row>
    <row r="14" spans="1:13" ht="12.75">
      <c r="A14" s="15">
        <v>1</v>
      </c>
      <c r="B14" t="s">
        <v>316</v>
      </c>
      <c r="C14" s="2">
        <f>37500+5625</f>
        <v>43125</v>
      </c>
      <c r="D14" s="2">
        <f>13000+7900</f>
        <v>20900</v>
      </c>
      <c r="E14" s="2">
        <f>11000+9150</f>
        <v>20150</v>
      </c>
      <c r="F14" s="2">
        <f>5625+5250</f>
        <v>10875</v>
      </c>
      <c r="G14" s="2">
        <f>10627+6127+225</f>
        <v>16979</v>
      </c>
      <c r="H14" s="2">
        <f>4376+5002</f>
        <v>9378</v>
      </c>
      <c r="I14" s="2">
        <f>10001+7001</f>
        <v>17002</v>
      </c>
      <c r="J14" s="2">
        <f>4376+4875</f>
        <v>9251</v>
      </c>
      <c r="K14">
        <f>500+3625</f>
        <v>4125</v>
      </c>
      <c r="L14" s="2">
        <f>1750+8130+2375+1750+1750+1750+750+1750+1250+2875</f>
        <v>24130</v>
      </c>
      <c r="M14" s="5">
        <f>SUM(C14:L14)</f>
        <v>175915</v>
      </c>
    </row>
    <row r="15" spans="1:13" ht="12.75">
      <c r="A15" s="15">
        <v>2</v>
      </c>
      <c r="B15" t="s">
        <v>317</v>
      </c>
      <c r="C15" s="2">
        <v>60000</v>
      </c>
      <c r="D15" s="2">
        <v>0</v>
      </c>
      <c r="G15" s="2">
        <v>15000</v>
      </c>
      <c r="H15" s="2">
        <v>2500</v>
      </c>
      <c r="M15" s="5">
        <f aca="true" t="shared" si="1" ref="M15:M25">SUM(C15:L15)</f>
        <v>77500</v>
      </c>
    </row>
    <row r="16" spans="1:13" ht="12.75">
      <c r="A16" s="15">
        <v>3</v>
      </c>
      <c r="B16" t="s">
        <v>318</v>
      </c>
      <c r="C16" s="2">
        <v>25197.11</v>
      </c>
      <c r="D16" s="2">
        <v>19175.43</v>
      </c>
      <c r="E16" s="2">
        <v>39343.23</v>
      </c>
      <c r="F16" s="2">
        <v>11204.64</v>
      </c>
      <c r="G16" s="2">
        <v>49037.25</v>
      </c>
      <c r="H16" s="2">
        <v>14948.85</v>
      </c>
      <c r="I16" s="2">
        <v>34177.7</v>
      </c>
      <c r="J16" s="2">
        <v>21314.83</v>
      </c>
      <c r="M16" s="5">
        <f t="shared" si="1"/>
        <v>214399.04000000004</v>
      </c>
    </row>
    <row r="17" spans="1:13" ht="12.75">
      <c r="A17" s="15">
        <v>4</v>
      </c>
      <c r="B17" t="s">
        <v>319</v>
      </c>
      <c r="C17" s="2">
        <f>4501+85.5+2901</f>
        <v>7487.5</v>
      </c>
      <c r="D17" s="2">
        <f>11299+759.5+2184</f>
        <v>14242.5</v>
      </c>
      <c r="E17" s="2">
        <f>3422+206+270</f>
        <v>3898</v>
      </c>
      <c r="F17" s="2">
        <f>525+43.9</f>
        <v>568.9</v>
      </c>
      <c r="G17" s="2">
        <f>6850+500.8+341</f>
        <v>7691.8</v>
      </c>
      <c r="H17" s="2">
        <v>2985.42</v>
      </c>
      <c r="I17" s="2">
        <f>3567+268.9+184</f>
        <v>4019.9</v>
      </c>
      <c r="J17" s="2">
        <f>2435+166.6+242</f>
        <v>2843.6</v>
      </c>
      <c r="M17" s="5">
        <f t="shared" si="1"/>
        <v>43737.62</v>
      </c>
    </row>
    <row r="18" spans="1:13" ht="12.75">
      <c r="A18" s="15">
        <v>5</v>
      </c>
      <c r="B18" t="s">
        <v>320</v>
      </c>
      <c r="C18" s="2">
        <f>15923.86+417.91</f>
        <v>16341.77</v>
      </c>
      <c r="D18" s="2">
        <f>44824+1056.14</f>
        <v>45880.14</v>
      </c>
      <c r="F18" s="2">
        <f>2265.25+1567.94</f>
        <v>3833.19</v>
      </c>
      <c r="G18" s="2">
        <f>27646.25+7597.63</f>
        <v>35243.88</v>
      </c>
      <c r="H18" s="2">
        <v>0</v>
      </c>
      <c r="I18" s="2">
        <f>14699.25+5315.93</f>
        <v>20015.18</v>
      </c>
      <c r="J18" s="2">
        <f>9425+1277</f>
        <v>10702</v>
      </c>
      <c r="M18" s="5">
        <f t="shared" si="1"/>
        <v>132016.16</v>
      </c>
    </row>
    <row r="19" spans="1:13" ht="12.75">
      <c r="A19" s="15">
        <v>6</v>
      </c>
      <c r="B19" t="s">
        <v>79</v>
      </c>
      <c r="D19" s="2">
        <v>1593087.77</v>
      </c>
      <c r="M19" s="5">
        <f t="shared" si="1"/>
        <v>1593087.77</v>
      </c>
    </row>
    <row r="20" spans="1:13" ht="12.75">
      <c r="A20" s="15">
        <v>7</v>
      </c>
      <c r="B20" t="s">
        <v>81</v>
      </c>
      <c r="C20" s="2">
        <v>0</v>
      </c>
      <c r="E20" s="2">
        <v>104423</v>
      </c>
      <c r="F20" s="2">
        <v>116015</v>
      </c>
      <c r="K20">
        <v>29700</v>
      </c>
      <c r="M20" s="5">
        <f t="shared" si="1"/>
        <v>250138</v>
      </c>
    </row>
    <row r="21" spans="1:13" ht="12.75">
      <c r="A21" s="15">
        <v>8</v>
      </c>
      <c r="B21" t="s">
        <v>258</v>
      </c>
      <c r="C21" s="2">
        <v>70200</v>
      </c>
      <c r="M21" s="5">
        <f t="shared" si="1"/>
        <v>70200</v>
      </c>
    </row>
    <row r="22" spans="1:13" ht="12.75">
      <c r="A22" s="15">
        <v>9</v>
      </c>
      <c r="B22" t="s">
        <v>82</v>
      </c>
      <c r="C22" s="2">
        <v>0</v>
      </c>
      <c r="E22" s="2">
        <v>32402.03</v>
      </c>
      <c r="G22" s="2">
        <v>56467.27</v>
      </c>
      <c r="I22" s="2">
        <v>27410.59</v>
      </c>
      <c r="M22" s="5">
        <f t="shared" si="1"/>
        <v>116279.88999999998</v>
      </c>
    </row>
    <row r="23" spans="1:13" ht="12.75">
      <c r="A23" s="15">
        <v>10</v>
      </c>
      <c r="B23" t="s">
        <v>255</v>
      </c>
      <c r="C23" s="2">
        <v>4802.2</v>
      </c>
      <c r="D23" s="2">
        <v>47838.08</v>
      </c>
      <c r="E23" s="2">
        <v>12966.19</v>
      </c>
      <c r="F23" s="2">
        <v>675.8</v>
      </c>
      <c r="G23" s="2">
        <v>6360.78</v>
      </c>
      <c r="H23" s="2">
        <v>1216.2</v>
      </c>
      <c r="I23" s="2">
        <f>1545.76+5315.93</f>
        <v>6861.6900000000005</v>
      </c>
      <c r="J23" s="2">
        <v>3000</v>
      </c>
      <c r="K23" s="9">
        <v>2499.5</v>
      </c>
      <c r="M23" s="5">
        <f t="shared" si="1"/>
        <v>86220.44</v>
      </c>
    </row>
    <row r="24" spans="1:13" ht="12.75">
      <c r="A24" s="15">
        <v>11</v>
      </c>
      <c r="B24" t="s">
        <v>21</v>
      </c>
      <c r="E24" s="2">
        <v>386673.7</v>
      </c>
      <c r="K24" s="9"/>
      <c r="M24" s="5">
        <f t="shared" si="1"/>
        <v>386673.7</v>
      </c>
    </row>
    <row r="25" spans="1:13" ht="12.75">
      <c r="A25" s="15">
        <v>12</v>
      </c>
      <c r="B25" t="s">
        <v>20</v>
      </c>
      <c r="C25" s="2">
        <v>0</v>
      </c>
      <c r="E25" s="2">
        <v>0</v>
      </c>
      <c r="G25" s="2">
        <v>17261.32</v>
      </c>
      <c r="H25" s="2">
        <v>7111.34</v>
      </c>
      <c r="J25" s="2">
        <v>19350</v>
      </c>
      <c r="M25" s="5">
        <f t="shared" si="1"/>
        <v>43722.66</v>
      </c>
    </row>
    <row r="26" spans="3:13" ht="13.5" thickBot="1">
      <c r="C26" s="3">
        <f aca="true" t="shared" si="2" ref="C26:M26">SUM(C14:C25)</f>
        <v>227153.58</v>
      </c>
      <c r="D26" s="3">
        <f t="shared" si="2"/>
        <v>1741123.9200000002</v>
      </c>
      <c r="E26" s="3">
        <f t="shared" si="2"/>
        <v>599856.15</v>
      </c>
      <c r="F26" s="3">
        <f t="shared" si="2"/>
        <v>143172.53</v>
      </c>
      <c r="G26" s="3">
        <f t="shared" si="2"/>
        <v>204041.3</v>
      </c>
      <c r="H26" s="3">
        <f t="shared" si="2"/>
        <v>38139.81</v>
      </c>
      <c r="I26" s="3">
        <f t="shared" si="2"/>
        <v>109487.06</v>
      </c>
      <c r="J26" s="3">
        <f t="shared" si="2"/>
        <v>66461.43</v>
      </c>
      <c r="K26" s="3">
        <f t="shared" si="2"/>
        <v>36324.5</v>
      </c>
      <c r="L26" s="3">
        <f t="shared" si="2"/>
        <v>24130</v>
      </c>
      <c r="M26" s="19">
        <f t="shared" si="2"/>
        <v>3189890.2800000003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5" sqref="A15"/>
    </sheetView>
  </sheetViews>
  <sheetFormatPr defaultColWidth="9.33203125" defaultRowHeight="12.75"/>
  <cols>
    <col min="1" max="1" width="41.83203125" style="0" customWidth="1"/>
    <col min="2" max="2" width="11.33203125" style="2" customWidth="1"/>
    <col min="3" max="3" width="12" style="2" customWidth="1"/>
    <col min="4" max="4" width="14.16015625" style="0" customWidth="1"/>
    <col min="5" max="5" width="11.33203125" style="0" customWidth="1"/>
  </cols>
  <sheetData>
    <row r="1" ht="12.75">
      <c r="A1" s="7" t="s">
        <v>220</v>
      </c>
    </row>
    <row r="2" ht="12.75">
      <c r="A2" s="7"/>
    </row>
    <row r="3" ht="12.75">
      <c r="A3" s="7" t="s">
        <v>89</v>
      </c>
    </row>
    <row r="5" spans="2:3" ht="12.75">
      <c r="B5" s="16" t="s">
        <v>410</v>
      </c>
      <c r="C5" s="16" t="s">
        <v>409</v>
      </c>
    </row>
    <row r="7" spans="1:3" ht="12.75">
      <c r="A7" t="s">
        <v>90</v>
      </c>
      <c r="B7" s="2">
        <f>73876719-76000</f>
        <v>73800719</v>
      </c>
      <c r="C7" s="2">
        <v>87444420</v>
      </c>
    </row>
    <row r="9" ht="12.75">
      <c r="A9" s="11" t="s">
        <v>91</v>
      </c>
    </row>
    <row r="10" spans="1:3" ht="12.75">
      <c r="A10" s="26" t="s">
        <v>92</v>
      </c>
      <c r="B10" s="23">
        <v>-1040092.32</v>
      </c>
      <c r="C10" s="23">
        <v>-1650111.41</v>
      </c>
    </row>
    <row r="11" spans="1:3" ht="12.75">
      <c r="A11" s="26" t="s">
        <v>93</v>
      </c>
      <c r="B11" s="24">
        <v>-2137606.26</v>
      </c>
      <c r="C11" s="24">
        <v>-2621904.55</v>
      </c>
    </row>
    <row r="12" spans="1:3" ht="12.75">
      <c r="A12" s="26" t="s">
        <v>94</v>
      </c>
      <c r="B12" s="24">
        <v>-2072277.09</v>
      </c>
      <c r="C12" s="24">
        <v>-1996064.85</v>
      </c>
    </row>
    <row r="13" spans="1:3" ht="12.75">
      <c r="A13" s="26" t="s">
        <v>95</v>
      </c>
      <c r="B13" s="24">
        <v>-533161.94</v>
      </c>
      <c r="C13" s="24">
        <v>-1260175.3</v>
      </c>
    </row>
    <row r="14" spans="1:3" ht="12.75">
      <c r="A14" s="26" t="s">
        <v>321</v>
      </c>
      <c r="B14" s="24">
        <v>-1622759.55</v>
      </c>
      <c r="C14" s="24">
        <v>-2038762.83</v>
      </c>
    </row>
    <row r="15" spans="1:3" ht="13.5" thickBot="1">
      <c r="A15" s="26" t="s">
        <v>322</v>
      </c>
      <c r="B15" s="24">
        <v>-730346.7</v>
      </c>
      <c r="C15" s="24">
        <v>-3036369</v>
      </c>
    </row>
    <row r="16" spans="2:3" ht="13.5" thickBot="1">
      <c r="B16" s="30">
        <f>SUM(B10:B15)</f>
        <v>-8136243.859999999</v>
      </c>
      <c r="C16" s="47">
        <f>SUM(C10:C15)</f>
        <v>-12603387.940000001</v>
      </c>
    </row>
    <row r="18" spans="1:3" ht="13.5" thickBot="1">
      <c r="A18" t="s">
        <v>323</v>
      </c>
      <c r="B18" s="3">
        <f>+B7+B16</f>
        <v>65664475.14</v>
      </c>
      <c r="C18" s="3">
        <f>+C7+C16</f>
        <v>74841032.06</v>
      </c>
    </row>
    <row r="19" spans="2:3" ht="12.75">
      <c r="B19" s="14"/>
      <c r="C19" s="14"/>
    </row>
    <row r="20" spans="1:3" ht="12.75">
      <c r="A20" s="46" t="s">
        <v>438</v>
      </c>
      <c r="B20" s="48">
        <v>0.4254</v>
      </c>
      <c r="C20" s="48">
        <v>0.2968</v>
      </c>
    </row>
    <row r="21" spans="1:3" ht="12.75">
      <c r="A21" s="46"/>
      <c r="B21" s="48"/>
      <c r="C21" s="48"/>
    </row>
    <row r="22" spans="1:5" ht="12.75">
      <c r="A22" s="46" t="s">
        <v>324</v>
      </c>
      <c r="B22" s="2">
        <f>+B18*B20</f>
        <v>27933667.724556</v>
      </c>
      <c r="C22" s="2">
        <f>+C18*C20</f>
        <v>22212818.315408003</v>
      </c>
      <c r="D22" s="5">
        <f>+B22+C22</f>
        <v>50146486.039964005</v>
      </c>
      <c r="E22" s="5" t="e">
        <f>+D22-#REF!</f>
        <v>#REF!</v>
      </c>
    </row>
    <row r="24" spans="1:4" ht="12.75">
      <c r="A24" t="s">
        <v>206</v>
      </c>
      <c r="B24" s="45">
        <v>32364500</v>
      </c>
      <c r="C24" s="45">
        <v>5606250</v>
      </c>
      <c r="D24" s="5">
        <f>+B24+C24</f>
        <v>37970750</v>
      </c>
    </row>
    <row r="26" spans="1:3" ht="13.5" thickBot="1">
      <c r="A26" t="s">
        <v>325</v>
      </c>
      <c r="B26" s="49">
        <f>+B22-B24</f>
        <v>-4430832.275444001</v>
      </c>
      <c r="C26" s="9" t="s">
        <v>326</v>
      </c>
    </row>
    <row r="29" ht="12.75">
      <c r="A29" s="26" t="s">
        <v>328</v>
      </c>
    </row>
    <row r="30" spans="1:4" ht="12.75">
      <c r="A30" t="s">
        <v>327</v>
      </c>
      <c r="B30" s="2">
        <v>2212712.27</v>
      </c>
      <c r="C30" s="2">
        <v>7104</v>
      </c>
      <c r="D30" s="5">
        <f>+B30+C30</f>
        <v>2219816.27</v>
      </c>
    </row>
    <row r="31" spans="1:4" ht="12.75">
      <c r="A31" t="s">
        <v>329</v>
      </c>
      <c r="B31" s="2">
        <v>2595783.8</v>
      </c>
      <c r="C31" s="2">
        <v>7764</v>
      </c>
      <c r="D31" s="5">
        <f aca="true" t="shared" si="0" ref="D31:D41">+B31+C31</f>
        <v>2603547.8</v>
      </c>
    </row>
    <row r="32" spans="1:4" ht="12.75">
      <c r="A32" t="s">
        <v>332</v>
      </c>
      <c r="B32" s="2">
        <v>1244207.59</v>
      </c>
      <c r="C32" s="2">
        <v>17360.72</v>
      </c>
      <c r="D32" s="5">
        <f t="shared" si="0"/>
        <v>1261568.31</v>
      </c>
    </row>
    <row r="33" spans="1:4" ht="12.75">
      <c r="A33" t="s">
        <v>333</v>
      </c>
      <c r="B33" s="2">
        <v>1759408.62</v>
      </c>
      <c r="C33" s="2">
        <v>7764</v>
      </c>
      <c r="D33" s="5">
        <f t="shared" si="0"/>
        <v>1767172.62</v>
      </c>
    </row>
    <row r="34" spans="1:4" ht="12.75">
      <c r="A34" t="s">
        <v>334</v>
      </c>
      <c r="B34" s="2">
        <v>2376574.3</v>
      </c>
      <c r="C34" s="2">
        <v>7764</v>
      </c>
      <c r="D34" s="5">
        <f t="shared" si="0"/>
        <v>2384338.3</v>
      </c>
    </row>
    <row r="35" spans="1:4" ht="12.75">
      <c r="A35" t="s">
        <v>426</v>
      </c>
      <c r="B35" s="2">
        <v>1259783.11</v>
      </c>
      <c r="C35" s="2">
        <v>7764</v>
      </c>
      <c r="D35" s="5">
        <f t="shared" si="0"/>
        <v>1267547.11</v>
      </c>
    </row>
    <row r="36" spans="1:4" ht="12.75">
      <c r="A36" t="s">
        <v>427</v>
      </c>
      <c r="B36" s="2">
        <v>1156368.54</v>
      </c>
      <c r="D36" s="5">
        <f t="shared" si="0"/>
        <v>1156368.54</v>
      </c>
    </row>
    <row r="37" spans="1:4" ht="12.75">
      <c r="A37" t="s">
        <v>428</v>
      </c>
      <c r="B37" s="2">
        <v>1401636.95</v>
      </c>
      <c r="D37" s="5">
        <f t="shared" si="0"/>
        <v>1401636.95</v>
      </c>
    </row>
    <row r="38" spans="1:4" ht="12.75">
      <c r="A38" t="s">
        <v>429</v>
      </c>
      <c r="B38" s="2">
        <v>1318003</v>
      </c>
      <c r="D38" s="5">
        <f t="shared" si="0"/>
        <v>1318003</v>
      </c>
    </row>
    <row r="39" spans="1:4" ht="12.75">
      <c r="A39" t="s">
        <v>430</v>
      </c>
      <c r="B39" s="2">
        <v>1075725.53</v>
      </c>
      <c r="D39" s="5">
        <f t="shared" si="0"/>
        <v>1075725.53</v>
      </c>
    </row>
    <row r="40" spans="1:4" ht="12.75">
      <c r="A40" t="s">
        <v>431</v>
      </c>
      <c r="B40" s="2">
        <v>2466912.88</v>
      </c>
      <c r="D40" s="5">
        <f t="shared" si="0"/>
        <v>2466912.88</v>
      </c>
    </row>
    <row r="41" spans="1:4" ht="12.75">
      <c r="A41" t="s">
        <v>432</v>
      </c>
      <c r="B41" s="2">
        <v>2814096.27</v>
      </c>
      <c r="D41" s="6">
        <f t="shared" si="0"/>
        <v>2814096.27</v>
      </c>
    </row>
    <row r="42" ht="12.75">
      <c r="D42" s="13">
        <f>SUM(D30:D41)</f>
        <v>21736733.58</v>
      </c>
    </row>
    <row r="44" spans="1:4" ht="12.75">
      <c r="A44" t="s">
        <v>433</v>
      </c>
      <c r="D44" s="2">
        <v>25117838</v>
      </c>
    </row>
    <row r="46" spans="1:4" ht="13.5" thickBot="1">
      <c r="A46" t="s">
        <v>434</v>
      </c>
      <c r="D46" s="19">
        <f>+D42-D44</f>
        <v>-3381104.420000002</v>
      </c>
    </row>
    <row r="48" spans="1:4" ht="12.75">
      <c r="A48" t="s">
        <v>435</v>
      </c>
      <c r="D48" s="29">
        <f>+D46*0.2968</f>
        <v>-1003511.7918560005</v>
      </c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6" sqref="G6"/>
    </sheetView>
  </sheetViews>
  <sheetFormatPr defaultColWidth="9.33203125" defaultRowHeight="12.75"/>
  <cols>
    <col min="1" max="1" width="4.5" style="0" customWidth="1"/>
    <col min="2" max="2" width="39.16015625" style="0" customWidth="1"/>
    <col min="4" max="4" width="10.33203125" style="0" customWidth="1"/>
  </cols>
  <sheetData>
    <row r="1" ht="12.75">
      <c r="A1" s="7" t="s">
        <v>5</v>
      </c>
    </row>
    <row r="3" ht="12.75">
      <c r="C3" s="15" t="s">
        <v>412</v>
      </c>
    </row>
    <row r="4" spans="1:3" ht="12.75">
      <c r="A4">
        <v>1</v>
      </c>
      <c r="B4" t="s">
        <v>259</v>
      </c>
      <c r="C4" s="2">
        <v>130</v>
      </c>
    </row>
    <row r="5" spans="1:3" ht="12.75">
      <c r="A5">
        <v>2</v>
      </c>
      <c r="B5" t="s">
        <v>260</v>
      </c>
      <c r="C5" s="2" t="e">
        <f>+#REF!-Sheet4!C4</f>
        <v>#REF!</v>
      </c>
    </row>
    <row r="6" ht="13.5" thickBot="1">
      <c r="C6" s="3" t="e">
        <f>SUM(C4:C5)</f>
        <v>#REF!</v>
      </c>
    </row>
    <row r="8" spans="1:3" ht="13.5" thickBot="1">
      <c r="A8">
        <v>3</v>
      </c>
      <c r="B8" t="s">
        <v>261</v>
      </c>
      <c r="C8" s="50" t="e">
        <f>+#REF!</f>
        <v>#REF!</v>
      </c>
    </row>
    <row r="10" spans="1:2" ht="12.75">
      <c r="A10">
        <v>4</v>
      </c>
      <c r="B10" t="s">
        <v>262</v>
      </c>
    </row>
    <row r="11" spans="2:3" ht="12.75">
      <c r="B11" s="26" t="s">
        <v>263</v>
      </c>
      <c r="C11" s="2">
        <f>500+991+9</f>
        <v>1500</v>
      </c>
    </row>
    <row r="12" spans="2:3" ht="12.75">
      <c r="B12" s="26" t="s">
        <v>264</v>
      </c>
      <c r="C12" s="2">
        <v>1500</v>
      </c>
    </row>
    <row r="13" spans="2:3" ht="12.75">
      <c r="B13" s="26" t="s">
        <v>265</v>
      </c>
      <c r="C13" s="2">
        <v>800</v>
      </c>
    </row>
    <row r="14" spans="2:3" ht="12.75">
      <c r="B14" s="26" t="s">
        <v>266</v>
      </c>
      <c r="C14" s="2">
        <f>1979+3500+1000</f>
        <v>6479</v>
      </c>
    </row>
    <row r="15" ht="13.5" thickBot="1">
      <c r="C15" s="19">
        <f>SUM(C11:C14)</f>
        <v>10279</v>
      </c>
    </row>
    <row r="17" spans="1:3" ht="13.5" thickBot="1">
      <c r="A17">
        <v>5</v>
      </c>
      <c r="B17" t="s">
        <v>267</v>
      </c>
      <c r="C17" s="50" t="e">
        <f>+#REF!</f>
        <v>#REF!</v>
      </c>
    </row>
    <row r="19" spans="1:3" ht="13.5" thickBot="1">
      <c r="A19">
        <v>6</v>
      </c>
      <c r="B19" t="s">
        <v>268</v>
      </c>
      <c r="C19" s="50" t="e">
        <f>+#REF!</f>
        <v>#REF!</v>
      </c>
    </row>
    <row r="21" spans="3:4" ht="12.75">
      <c r="C21" s="20" t="s">
        <v>270</v>
      </c>
      <c r="D21" s="20" t="s">
        <v>271</v>
      </c>
    </row>
    <row r="22" spans="1:4" ht="12.75">
      <c r="A22">
        <v>7</v>
      </c>
      <c r="B22" t="s">
        <v>269</v>
      </c>
      <c r="C22" s="20" t="s">
        <v>412</v>
      </c>
      <c r="D22" s="20" t="s">
        <v>412</v>
      </c>
    </row>
    <row r="23" spans="2:4" ht="12.75">
      <c r="B23" s="26" t="s">
        <v>272</v>
      </c>
      <c r="C23" s="5" t="e">
        <f>+D23-10154</f>
        <v>#REF!</v>
      </c>
      <c r="D23" s="2" t="e">
        <f>+#REF!/1000</f>
        <v>#REF!</v>
      </c>
    </row>
    <row r="24" spans="2:4" ht="12.75">
      <c r="B24" s="26" t="s">
        <v>273</v>
      </c>
      <c r="C24" s="5" t="e">
        <f>+D24-4897</f>
        <v>#REF!</v>
      </c>
      <c r="D24" s="2" t="e">
        <f>+#REF!/1000</f>
        <v>#REF!</v>
      </c>
    </row>
    <row r="25" spans="3:4" ht="13.5" thickBot="1">
      <c r="C25" s="19" t="e">
        <f>SUM(C23:C24)</f>
        <v>#REF!</v>
      </c>
      <c r="D25" s="19" t="e">
        <f>SUM(D23:D24)</f>
        <v>#REF!</v>
      </c>
    </row>
    <row r="27" spans="1:2" ht="12.75">
      <c r="A27">
        <v>8</v>
      </c>
      <c r="B27" t="s">
        <v>4</v>
      </c>
    </row>
    <row r="28" spans="2:3" ht="12.75">
      <c r="B28" s="26" t="s">
        <v>237</v>
      </c>
      <c r="C28" s="2">
        <v>21</v>
      </c>
    </row>
    <row r="29" spans="2:3" ht="12.75">
      <c r="B29" s="26" t="s">
        <v>238</v>
      </c>
      <c r="C29" s="2">
        <v>43</v>
      </c>
    </row>
    <row r="30" spans="2:3" ht="12.75">
      <c r="B30" s="26" t="s">
        <v>0</v>
      </c>
      <c r="C30" s="2">
        <v>66</v>
      </c>
    </row>
    <row r="31" spans="2:3" ht="12.75">
      <c r="B31" s="26" t="s">
        <v>1</v>
      </c>
      <c r="C31" s="2">
        <v>174</v>
      </c>
    </row>
    <row r="32" spans="2:3" ht="12.75">
      <c r="B32" s="26" t="s">
        <v>152</v>
      </c>
      <c r="C32" s="2">
        <v>5</v>
      </c>
    </row>
    <row r="33" spans="2:3" ht="12.75">
      <c r="B33" s="26" t="s">
        <v>2</v>
      </c>
      <c r="C33" s="2">
        <f>+'UR Profit'!D12/1000</f>
        <v>106.15281000000002</v>
      </c>
    </row>
    <row r="34" spans="2:3" ht="12.75">
      <c r="B34" s="26" t="s">
        <v>3</v>
      </c>
      <c r="C34" s="2">
        <v>272</v>
      </c>
    </row>
    <row r="35" ht="13.5" thickBot="1">
      <c r="C35" s="19">
        <f>SUM(C28:C34)</f>
        <v>687.15281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46" sqref="D46"/>
    </sheetView>
  </sheetViews>
  <sheetFormatPr defaultColWidth="9.33203125" defaultRowHeight="12.75"/>
  <cols>
    <col min="1" max="1" width="3.83203125" style="0" customWidth="1"/>
    <col min="2" max="2" width="34" style="0" customWidth="1"/>
    <col min="3" max="4" width="12.33203125" style="0" customWidth="1"/>
    <col min="5" max="5" width="10.33203125" style="0" customWidth="1"/>
  </cols>
  <sheetData>
    <row r="1" ht="12.75">
      <c r="A1" s="7" t="s">
        <v>214</v>
      </c>
    </row>
    <row r="2" ht="12.75">
      <c r="A2" s="7"/>
    </row>
    <row r="3" ht="12.75">
      <c r="A3" s="7" t="s">
        <v>153</v>
      </c>
    </row>
    <row r="4" ht="12.75">
      <c r="A4" s="7"/>
    </row>
    <row r="5" spans="1:4" ht="12.75">
      <c r="A5" s="20" t="s">
        <v>354</v>
      </c>
      <c r="B5" s="20" t="s">
        <v>355</v>
      </c>
      <c r="C5" s="20" t="s">
        <v>189</v>
      </c>
      <c r="D5" s="20" t="s">
        <v>190</v>
      </c>
    </row>
    <row r="7" spans="1:4" ht="12.75">
      <c r="A7">
        <v>1</v>
      </c>
      <c r="B7" t="s">
        <v>356</v>
      </c>
      <c r="C7" s="2" t="e">
        <f>+C15</f>
        <v>#REF!</v>
      </c>
      <c r="D7" s="2"/>
    </row>
    <row r="8" spans="2:4" ht="12.75">
      <c r="B8" t="s">
        <v>361</v>
      </c>
      <c r="C8" s="2"/>
      <c r="D8" s="2" t="e">
        <f>+C7</f>
        <v>#REF!</v>
      </c>
    </row>
    <row r="9" ht="12.75">
      <c r="B9" s="8" t="s">
        <v>357</v>
      </c>
    </row>
    <row r="12" ht="12.75">
      <c r="B12" s="18" t="s">
        <v>358</v>
      </c>
    </row>
    <row r="13" spans="2:3" ht="12.75">
      <c r="B13" t="s">
        <v>154</v>
      </c>
      <c r="C13" s="2" t="e">
        <f>+#REF!</f>
        <v>#REF!</v>
      </c>
    </row>
    <row r="14" spans="2:3" ht="12.75">
      <c r="B14" t="s">
        <v>359</v>
      </c>
      <c r="C14" s="2" t="e">
        <f>+#REF!-#REF!</f>
        <v>#REF!</v>
      </c>
    </row>
    <row r="15" spans="2:3" ht="13.5" thickBot="1">
      <c r="B15" t="s">
        <v>360</v>
      </c>
      <c r="C15" s="19" t="e">
        <f>+C13-C14</f>
        <v>#REF!</v>
      </c>
    </row>
    <row r="18" ht="12.75">
      <c r="A18" s="7" t="s">
        <v>155</v>
      </c>
    </row>
    <row r="20" ht="12.75">
      <c r="A20" s="7" t="s">
        <v>153</v>
      </c>
    </row>
    <row r="22" spans="1:4" ht="12.75">
      <c r="A22" s="20" t="s">
        <v>354</v>
      </c>
      <c r="B22" s="20" t="s">
        <v>355</v>
      </c>
      <c r="C22" s="20" t="s">
        <v>189</v>
      </c>
      <c r="D22" s="20" t="s">
        <v>190</v>
      </c>
    </row>
    <row r="24" spans="1:3" ht="12.75">
      <c r="A24">
        <v>1</v>
      </c>
      <c r="B24" t="s">
        <v>191</v>
      </c>
      <c r="C24" s="21">
        <f>(494153.71-40010)*0.6</f>
        <v>272486.226</v>
      </c>
    </row>
    <row r="25" spans="2:4" ht="12.75">
      <c r="B25" t="s">
        <v>156</v>
      </c>
      <c r="D25" s="42">
        <f>+C24</f>
        <v>272486.226</v>
      </c>
    </row>
    <row r="26" ht="12.75">
      <c r="B26" s="8" t="s">
        <v>157</v>
      </c>
    </row>
    <row r="28" spans="1:4" ht="12.75">
      <c r="A28">
        <v>2</v>
      </c>
      <c r="B28" t="s">
        <v>159</v>
      </c>
      <c r="C28" s="21">
        <v>40010</v>
      </c>
      <c r="D28" s="21"/>
    </row>
    <row r="29" spans="2:4" ht="12.75">
      <c r="B29" t="s">
        <v>160</v>
      </c>
      <c r="C29" s="21"/>
      <c r="D29" s="21">
        <f>+C28</f>
        <v>40010</v>
      </c>
    </row>
    <row r="30" ht="12.75">
      <c r="B30" s="8" t="s">
        <v>161</v>
      </c>
    </row>
    <row r="33" ht="12.75">
      <c r="A33" s="7" t="s">
        <v>222</v>
      </c>
    </row>
    <row r="35" ht="12.75">
      <c r="A35" s="7" t="s">
        <v>153</v>
      </c>
    </row>
    <row r="37" spans="1:4" ht="12.75">
      <c r="A37" s="20" t="s">
        <v>354</v>
      </c>
      <c r="B37" s="20" t="s">
        <v>355</v>
      </c>
      <c r="C37" s="20" t="s">
        <v>189</v>
      </c>
      <c r="D37" s="20" t="s">
        <v>190</v>
      </c>
    </row>
    <row r="39" spans="1:4" ht="12.75">
      <c r="A39">
        <v>1</v>
      </c>
      <c r="B39" t="s">
        <v>162</v>
      </c>
      <c r="C39" s="21">
        <f>4021.6+56504.45</f>
        <v>60526.049999999996</v>
      </c>
      <c r="D39" s="21"/>
    </row>
    <row r="40" spans="2:5" ht="12.75">
      <c r="B40" t="s">
        <v>163</v>
      </c>
      <c r="C40" s="21">
        <v>21973.95</v>
      </c>
      <c r="D40" s="21"/>
      <c r="E40" s="53"/>
    </row>
    <row r="41" spans="2:4" ht="12.75">
      <c r="B41" t="s">
        <v>164</v>
      </c>
      <c r="C41" s="21"/>
      <c r="D41" s="21">
        <f>4021.6+78478.4</f>
        <v>82500</v>
      </c>
    </row>
    <row r="42" ht="12.75">
      <c r="B42" s="8" t="s">
        <v>165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  <rowBreaks count="3" manualBreakCount="3">
    <brk id="15" max="255" man="1"/>
    <brk id="16" max="6" man="1"/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E1">
      <selection activeCell="E23" sqref="E23"/>
    </sheetView>
  </sheetViews>
  <sheetFormatPr defaultColWidth="9.33203125" defaultRowHeight="12.75"/>
  <cols>
    <col min="1" max="16384" width="8.16015625" style="0" customWidth="1"/>
  </cols>
  <sheetData>
    <row r="1" spans="2:14" ht="12.75">
      <c r="B1" t="s">
        <v>407</v>
      </c>
      <c r="C1" t="s">
        <v>408</v>
      </c>
      <c r="D1" t="s">
        <v>179</v>
      </c>
      <c r="E1" t="s">
        <v>62</v>
      </c>
      <c r="F1" t="s">
        <v>195</v>
      </c>
      <c r="G1" t="s">
        <v>423</v>
      </c>
      <c r="H1" t="s">
        <v>43</v>
      </c>
      <c r="I1" t="s">
        <v>180</v>
      </c>
      <c r="J1" t="s">
        <v>181</v>
      </c>
      <c r="K1" t="s">
        <v>378</v>
      </c>
      <c r="L1" t="s">
        <v>189</v>
      </c>
      <c r="M1" t="s">
        <v>190</v>
      </c>
      <c r="N1" t="s">
        <v>379</v>
      </c>
    </row>
    <row r="3" spans="1:14" ht="12.75">
      <c r="A3" t="s">
        <v>124</v>
      </c>
      <c r="B3">
        <v>0</v>
      </c>
      <c r="C3">
        <v>0</v>
      </c>
      <c r="D3">
        <v>2064</v>
      </c>
      <c r="E3">
        <v>138</v>
      </c>
      <c r="F3">
        <v>2091</v>
      </c>
      <c r="G3">
        <v>18</v>
      </c>
      <c r="H3">
        <v>0</v>
      </c>
      <c r="I3">
        <v>656</v>
      </c>
      <c r="J3">
        <v>105</v>
      </c>
      <c r="K3">
        <f>SUM(B3:J3)</f>
        <v>5072</v>
      </c>
      <c r="L3">
        <f>94+296+34</f>
        <v>424</v>
      </c>
      <c r="N3">
        <f>+K3-L3+M3</f>
        <v>4648</v>
      </c>
    </row>
    <row r="4" spans="1:14" ht="12.75">
      <c r="A4" t="s">
        <v>182</v>
      </c>
      <c r="B4">
        <v>0</v>
      </c>
      <c r="C4">
        <v>0</v>
      </c>
      <c r="D4">
        <v>-1769</v>
      </c>
      <c r="E4">
        <v>-130</v>
      </c>
      <c r="F4">
        <v>-1872</v>
      </c>
      <c r="G4">
        <v>-29</v>
      </c>
      <c r="H4">
        <v>0</v>
      </c>
      <c r="I4">
        <v>-542</v>
      </c>
      <c r="J4">
        <v>-34</v>
      </c>
      <c r="K4">
        <f>SUM(B4:J4)</f>
        <v>-4376</v>
      </c>
      <c r="M4">
        <f>+L3</f>
        <v>424</v>
      </c>
      <c r="N4" s="28">
        <f>+K4-L4+M4</f>
        <v>-3952</v>
      </c>
    </row>
    <row r="5" ht="12.75">
      <c r="N5">
        <f>+N3+N4</f>
        <v>696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1" sqref="C21"/>
    </sheetView>
  </sheetViews>
  <sheetFormatPr defaultColWidth="9.33203125" defaultRowHeight="12.75"/>
  <cols>
    <col min="1" max="1" width="3.83203125" style="0" customWidth="1"/>
    <col min="2" max="2" width="12.33203125" style="0" customWidth="1"/>
    <col min="3" max="3" width="11.33203125" style="2" customWidth="1"/>
    <col min="4" max="4" width="9.33203125" style="2" customWidth="1"/>
    <col min="5" max="5" width="10.33203125" style="2" customWidth="1"/>
  </cols>
  <sheetData>
    <row r="1" ht="12.75">
      <c r="A1" s="7" t="s">
        <v>183</v>
      </c>
    </row>
    <row r="2" ht="12.75">
      <c r="A2" s="7"/>
    </row>
    <row r="3" ht="12.75">
      <c r="A3" s="7" t="s">
        <v>184</v>
      </c>
    </row>
    <row r="4" ht="12.75">
      <c r="A4" s="7"/>
    </row>
    <row r="5" spans="1:5" s="20" customFormat="1" ht="12.75">
      <c r="A5" s="20" t="s">
        <v>292</v>
      </c>
      <c r="B5" s="20" t="s">
        <v>406</v>
      </c>
      <c r="C5" s="16" t="s">
        <v>185</v>
      </c>
      <c r="D5" s="16" t="s">
        <v>186</v>
      </c>
      <c r="E5" s="16" t="s">
        <v>219</v>
      </c>
    </row>
    <row r="7" spans="1:5" ht="12.75">
      <c r="A7">
        <v>1</v>
      </c>
      <c r="B7" t="s">
        <v>230</v>
      </c>
      <c r="C7" s="2">
        <v>154810</v>
      </c>
      <c r="D7" s="2">
        <v>0</v>
      </c>
      <c r="E7" s="2">
        <f>+C7+D7</f>
        <v>154810</v>
      </c>
    </row>
    <row r="8" spans="1:5" ht="12.75">
      <c r="A8">
        <v>2</v>
      </c>
      <c r="B8" t="s">
        <v>180</v>
      </c>
      <c r="C8" s="2">
        <f>1801774.36+352434.6</f>
        <v>2154208.96</v>
      </c>
      <c r="D8" s="2">
        <v>0</v>
      </c>
      <c r="E8" s="2">
        <f>+C8+D8</f>
        <v>2154208.96</v>
      </c>
    </row>
    <row r="9" spans="1:5" ht="12.75">
      <c r="A9">
        <v>3</v>
      </c>
      <c r="B9" t="s">
        <v>423</v>
      </c>
      <c r="C9" s="2">
        <v>98947.95</v>
      </c>
      <c r="D9" s="2">
        <v>0</v>
      </c>
      <c r="E9" s="2">
        <f>+C9+D9</f>
        <v>98947.95</v>
      </c>
    </row>
    <row r="10" spans="1:5" ht="12.75">
      <c r="A10">
        <v>4</v>
      </c>
      <c r="B10" t="s">
        <v>408</v>
      </c>
      <c r="C10" s="2">
        <v>14000</v>
      </c>
      <c r="D10" s="2">
        <v>0</v>
      </c>
      <c r="E10" s="2">
        <f>+C10+D10</f>
        <v>14000</v>
      </c>
    </row>
    <row r="11" spans="3:5" ht="13.5" thickBot="1">
      <c r="C11" s="3">
        <f>SUM(C7:C10)</f>
        <v>2421966.91</v>
      </c>
      <c r="D11" s="3">
        <f>SUM(D7:D10)</f>
        <v>0</v>
      </c>
      <c r="E11" s="3">
        <f>SUM(E7:E10)</f>
        <v>2421966.91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4" sqref="C14"/>
    </sheetView>
  </sheetViews>
  <sheetFormatPr defaultColWidth="9.33203125" defaultRowHeight="12.75"/>
  <cols>
    <col min="1" max="1" width="4.16015625" style="0" customWidth="1"/>
    <col min="2" max="2" width="42.33203125" style="0" customWidth="1"/>
    <col min="3" max="3" width="10.33203125" style="0" customWidth="1"/>
    <col min="5" max="5" width="18" style="0" customWidth="1"/>
  </cols>
  <sheetData>
    <row r="1" ht="12.75">
      <c r="A1" s="7" t="s">
        <v>214</v>
      </c>
    </row>
    <row r="2" ht="12.75">
      <c r="A2" s="7"/>
    </row>
    <row r="3" ht="12.75">
      <c r="A3" s="7" t="s">
        <v>291</v>
      </c>
    </row>
    <row r="5" spans="3:5" ht="12.75">
      <c r="C5" s="271" t="s">
        <v>77</v>
      </c>
      <c r="D5" s="271"/>
      <c r="E5" s="20" t="s">
        <v>296</v>
      </c>
    </row>
    <row r="6" spans="1:5" ht="12.75">
      <c r="A6" s="20" t="s">
        <v>292</v>
      </c>
      <c r="B6" s="20" t="s">
        <v>293</v>
      </c>
      <c r="C6" s="20" t="s">
        <v>294</v>
      </c>
      <c r="D6" s="20" t="s">
        <v>295</v>
      </c>
      <c r="E6" s="44" t="s">
        <v>297</v>
      </c>
    </row>
    <row r="8" spans="1:5" ht="12.75">
      <c r="A8" s="15">
        <v>1</v>
      </c>
      <c r="B8" t="s">
        <v>298</v>
      </c>
      <c r="C8" s="2">
        <v>5000000</v>
      </c>
      <c r="D8" s="2">
        <v>2</v>
      </c>
      <c r="E8" s="2">
        <v>95040</v>
      </c>
    </row>
    <row r="9" spans="1:5" ht="12.75">
      <c r="A9" s="15"/>
      <c r="C9" s="2"/>
      <c r="D9" s="2"/>
      <c r="E9" s="2"/>
    </row>
    <row r="10" spans="1:5" ht="12.75">
      <c r="A10" s="15">
        <v>2</v>
      </c>
      <c r="B10" t="s">
        <v>299</v>
      </c>
      <c r="C10" s="2">
        <v>5000000</v>
      </c>
      <c r="D10" s="2">
        <v>2</v>
      </c>
      <c r="E10" s="2">
        <v>0</v>
      </c>
    </row>
    <row r="11" spans="3:5" ht="12.75">
      <c r="C11" s="2"/>
      <c r="D11" s="2"/>
      <c r="E11" s="2"/>
    </row>
    <row r="12" spans="1:5" ht="12.75">
      <c r="A12" s="15">
        <v>3</v>
      </c>
      <c r="B12" t="s">
        <v>300</v>
      </c>
      <c r="C12" s="2">
        <v>25000</v>
      </c>
      <c r="D12" s="2">
        <v>2</v>
      </c>
      <c r="E12" s="2">
        <v>0</v>
      </c>
    </row>
    <row r="13" spans="1:5" ht="12.75">
      <c r="A13" s="15"/>
      <c r="C13" s="2"/>
      <c r="D13" s="2"/>
      <c r="E13" s="2"/>
    </row>
    <row r="14" spans="1:5" ht="12.75">
      <c r="A14" s="15">
        <v>4</v>
      </c>
      <c r="B14" t="s">
        <v>301</v>
      </c>
      <c r="C14" s="2">
        <v>25000</v>
      </c>
      <c r="D14" s="2">
        <v>2</v>
      </c>
      <c r="E14" s="2">
        <v>0</v>
      </c>
    </row>
    <row r="15" spans="1:5" ht="12.75">
      <c r="A15" s="15"/>
      <c r="C15" s="2"/>
      <c r="D15" s="2"/>
      <c r="E15" s="2"/>
    </row>
    <row r="16" spans="1:5" ht="12.75">
      <c r="A16" s="15">
        <v>5</v>
      </c>
      <c r="B16" t="s">
        <v>302</v>
      </c>
      <c r="C16" s="2">
        <v>25000</v>
      </c>
      <c r="D16" s="2">
        <v>2</v>
      </c>
      <c r="E16" s="2">
        <v>0</v>
      </c>
    </row>
  </sheetData>
  <mergeCells count="1">
    <mergeCell ref="C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C46" sqref="C46"/>
    </sheetView>
  </sheetViews>
  <sheetFormatPr defaultColWidth="9.33203125" defaultRowHeight="12.75"/>
  <cols>
    <col min="1" max="1" width="3.33203125" style="84" customWidth="1"/>
    <col min="2" max="2" width="36.66015625" style="84" customWidth="1"/>
    <col min="3" max="3" width="13.33203125" style="84" customWidth="1"/>
    <col min="4" max="4" width="14.66015625" style="84" customWidth="1"/>
    <col min="5" max="5" width="13.16015625" style="84" customWidth="1"/>
    <col min="6" max="6" width="14.5" style="84" customWidth="1"/>
    <col min="7" max="7" width="3" style="84" customWidth="1"/>
    <col min="8" max="14" width="0" style="84" hidden="1" customWidth="1"/>
    <col min="15" max="16384" width="9.33203125" style="84" customWidth="1"/>
  </cols>
  <sheetData>
    <row r="1" ht="12.75">
      <c r="A1" s="79" t="s">
        <v>374</v>
      </c>
    </row>
    <row r="2" s="86" customFormat="1" ht="12.75">
      <c r="A2" s="85" t="s">
        <v>282</v>
      </c>
    </row>
    <row r="3" ht="12.75">
      <c r="A3" s="79"/>
    </row>
    <row r="4" ht="12.75">
      <c r="A4" s="79" t="s">
        <v>466</v>
      </c>
    </row>
    <row r="5" ht="12.75"/>
    <row r="6" spans="1:6" ht="12.75">
      <c r="A6" s="105"/>
      <c r="B6" s="105"/>
      <c r="C6" s="272" t="s">
        <v>283</v>
      </c>
      <c r="D6" s="272"/>
      <c r="E6" s="272" t="s">
        <v>87</v>
      </c>
      <c r="F6" s="272"/>
    </row>
    <row r="7" spans="1:6" s="88" customFormat="1" ht="63.75">
      <c r="A7" s="107"/>
      <c r="B7" s="107"/>
      <c r="C7" s="108" t="s">
        <v>284</v>
      </c>
      <c r="D7" s="108" t="s">
        <v>285</v>
      </c>
      <c r="E7" s="108" t="s">
        <v>286</v>
      </c>
      <c r="F7" s="108" t="s">
        <v>287</v>
      </c>
    </row>
    <row r="8" spans="1:6" ht="12.75">
      <c r="A8" s="105"/>
      <c r="B8" s="105"/>
      <c r="C8" s="109" t="s">
        <v>467</v>
      </c>
      <c r="D8" s="109" t="s">
        <v>468</v>
      </c>
      <c r="E8" s="109" t="str">
        <f>+C8</f>
        <v>30/06/2008</v>
      </c>
      <c r="F8" s="109" t="str">
        <f>+D8</f>
        <v>30/06/2007</v>
      </c>
    </row>
    <row r="9" spans="1:6" ht="12.75">
      <c r="A9" s="105"/>
      <c r="B9" s="105"/>
      <c r="C9" s="106" t="s">
        <v>412</v>
      </c>
      <c r="D9" s="106" t="s">
        <v>412</v>
      </c>
      <c r="E9" s="106" t="s">
        <v>412</v>
      </c>
      <c r="F9" s="106" t="s">
        <v>412</v>
      </c>
    </row>
    <row r="10" spans="1:6" ht="12.75">
      <c r="A10" s="105"/>
      <c r="B10" s="105"/>
      <c r="C10" s="105"/>
      <c r="D10" s="105"/>
      <c r="E10" s="105"/>
      <c r="F10" s="105"/>
    </row>
    <row r="11" spans="1:6" ht="12.75">
      <c r="A11" s="105">
        <v>1</v>
      </c>
      <c r="B11" s="105" t="s">
        <v>124</v>
      </c>
      <c r="C11" s="110">
        <f>+CIS!C16</f>
        <v>1895</v>
      </c>
      <c r="D11" s="110">
        <f>+CIS!E16</f>
        <v>2053</v>
      </c>
      <c r="E11" s="105">
        <f>+CIS!G16</f>
        <v>8808</v>
      </c>
      <c r="F11" s="105">
        <f>+CIS!I16</f>
        <v>7533</v>
      </c>
    </row>
    <row r="12" spans="1:6" ht="12.75">
      <c r="A12" s="105"/>
      <c r="B12" s="105"/>
      <c r="C12" s="105"/>
      <c r="D12" s="105"/>
      <c r="E12" s="105"/>
      <c r="F12" s="105"/>
    </row>
    <row r="13" spans="1:6" ht="12.75">
      <c r="A13" s="105">
        <v>2</v>
      </c>
      <c r="B13" s="105" t="s">
        <v>443</v>
      </c>
      <c r="C13" s="110">
        <f>+CIS!C34</f>
        <v>7117</v>
      </c>
      <c r="D13" s="110">
        <f>+CIS!E34</f>
        <v>636</v>
      </c>
      <c r="E13" s="105">
        <f>+CIS!G34</f>
        <v>23829</v>
      </c>
      <c r="F13" s="105">
        <f>+CIS!I34</f>
        <v>3891</v>
      </c>
    </row>
    <row r="14" spans="1:6" ht="12.75">
      <c r="A14" s="105"/>
      <c r="B14" s="105"/>
      <c r="C14" s="105"/>
      <c r="D14" s="105"/>
      <c r="E14" s="105"/>
      <c r="F14" s="105"/>
    </row>
    <row r="15" spans="1:10" ht="12.75">
      <c r="A15" s="105">
        <v>3</v>
      </c>
      <c r="B15" s="105" t="s">
        <v>444</v>
      </c>
      <c r="C15" s="110">
        <f>+CIS!C38</f>
        <v>7130</v>
      </c>
      <c r="D15" s="110">
        <f>+CIS!E38</f>
        <v>759</v>
      </c>
      <c r="E15" s="105">
        <f>+CIS!G38</f>
        <v>23842</v>
      </c>
      <c r="F15" s="105">
        <f>+CIS!I38</f>
        <v>3947</v>
      </c>
      <c r="J15" s="140" t="s">
        <v>288</v>
      </c>
    </row>
    <row r="16" spans="1:6" ht="12.75">
      <c r="A16" s="105"/>
      <c r="B16" s="105"/>
      <c r="C16" s="105"/>
      <c r="D16" s="105"/>
      <c r="E16" s="105"/>
      <c r="F16" s="105"/>
    </row>
    <row r="17" spans="1:6" ht="38.25">
      <c r="A17" s="167">
        <v>4</v>
      </c>
      <c r="B17" s="166" t="s">
        <v>445</v>
      </c>
      <c r="C17" s="105">
        <f>CIS!C42</f>
        <v>7130</v>
      </c>
      <c r="D17" s="105">
        <f>CIS!E42</f>
        <v>759</v>
      </c>
      <c r="E17" s="105">
        <f>CIS!G42</f>
        <v>23842</v>
      </c>
      <c r="F17" s="105">
        <f>CIS!I42</f>
        <v>4019</v>
      </c>
    </row>
    <row r="18" spans="1:6" ht="12.75">
      <c r="A18" s="105"/>
      <c r="B18" s="105"/>
      <c r="C18" s="105"/>
      <c r="D18" s="105"/>
      <c r="E18" s="105"/>
      <c r="F18" s="105"/>
    </row>
    <row r="19" spans="1:6" s="77" customFormat="1" ht="12.75">
      <c r="A19" s="105">
        <v>5</v>
      </c>
      <c r="B19" s="114" t="s">
        <v>446</v>
      </c>
      <c r="C19" s="141">
        <f>+CIS!C48</f>
        <v>3.01</v>
      </c>
      <c r="D19" s="141">
        <f>+CIS!E48</f>
        <v>0.2723749371994545</v>
      </c>
      <c r="E19" s="141">
        <f>+CIS!G48</f>
        <v>10.07</v>
      </c>
      <c r="F19" s="115">
        <f>+CIS!I48</f>
        <v>1.4422593841957942</v>
      </c>
    </row>
    <row r="20" spans="1:6" ht="12.75">
      <c r="A20" s="105"/>
      <c r="B20" s="105"/>
      <c r="C20" s="105"/>
      <c r="D20" s="105"/>
      <c r="E20" s="105"/>
      <c r="F20" s="105"/>
    </row>
    <row r="21" spans="1:6" s="77" customFormat="1" ht="12.75">
      <c r="A21" s="105">
        <v>6</v>
      </c>
      <c r="B21" s="114" t="s">
        <v>382</v>
      </c>
      <c r="C21" s="172">
        <v>0</v>
      </c>
      <c r="D21" s="172">
        <v>0</v>
      </c>
      <c r="E21" s="172">
        <v>0</v>
      </c>
      <c r="F21" s="172">
        <v>0</v>
      </c>
    </row>
    <row r="22" spans="3:6" ht="12.75">
      <c r="C22" s="74"/>
      <c r="D22" s="74"/>
      <c r="E22" s="74"/>
      <c r="F22" s="74"/>
    </row>
    <row r="23" spans="1:6" s="81" customFormat="1" ht="51">
      <c r="A23" s="106"/>
      <c r="B23" s="106"/>
      <c r="C23" s="111" t="s">
        <v>289</v>
      </c>
      <c r="D23" s="111" t="s">
        <v>290</v>
      </c>
      <c r="E23" s="112"/>
      <c r="F23" s="112"/>
    </row>
    <row r="24" spans="1:6" ht="12.75">
      <c r="A24" s="105"/>
      <c r="B24" s="105"/>
      <c r="C24" s="110"/>
      <c r="D24" s="110"/>
      <c r="E24" s="74"/>
      <c r="F24" s="74"/>
    </row>
    <row r="25" spans="1:4" ht="12.75">
      <c r="A25" s="105"/>
      <c r="B25" s="105"/>
      <c r="C25" s="105"/>
      <c r="D25" s="105"/>
    </row>
    <row r="26" spans="1:7" ht="38.25">
      <c r="A26" s="167">
        <v>7</v>
      </c>
      <c r="B26" s="166" t="s">
        <v>235</v>
      </c>
      <c r="C26" s="141">
        <f>+(CBS!C38)/(CBS!C36*2)</f>
        <v>0.6205797012293275</v>
      </c>
      <c r="D26" s="141">
        <f>+(CBS!E38)/(CBS!E36*2)</f>
        <v>0.09883778729697831</v>
      </c>
      <c r="E26" s="84" t="s">
        <v>193</v>
      </c>
      <c r="F26" s="84" t="s">
        <v>193</v>
      </c>
      <c r="G26" s="84" t="s">
        <v>193</v>
      </c>
    </row>
    <row r="27" ht="12.75"/>
    <row r="28" ht="12.75"/>
    <row r="29" spans="1:6" s="78" customFormat="1" ht="12.75">
      <c r="A29" s="84"/>
      <c r="B29" s="273"/>
      <c r="C29" s="273"/>
      <c r="D29" s="273"/>
      <c r="E29" s="273"/>
      <c r="F29" s="273"/>
    </row>
    <row r="30" ht="12.75"/>
    <row r="31" ht="12.75"/>
    <row r="32" ht="12.75">
      <c r="A32" s="79" t="s">
        <v>85</v>
      </c>
    </row>
    <row r="33" ht="12.75"/>
    <row r="34" spans="1:6" ht="12.75">
      <c r="A34" s="105"/>
      <c r="B34" s="105"/>
      <c r="C34" s="272" t="s">
        <v>283</v>
      </c>
      <c r="D34" s="272"/>
      <c r="E34" s="272" t="s">
        <v>87</v>
      </c>
      <c r="F34" s="272"/>
    </row>
    <row r="35" spans="1:6" ht="63.75">
      <c r="A35" s="107"/>
      <c r="B35" s="107"/>
      <c r="C35" s="108" t="s">
        <v>284</v>
      </c>
      <c r="D35" s="108" t="s">
        <v>285</v>
      </c>
      <c r="E35" s="108" t="s">
        <v>286</v>
      </c>
      <c r="F35" s="108" t="s">
        <v>287</v>
      </c>
    </row>
    <row r="36" spans="1:6" ht="12.75">
      <c r="A36" s="105"/>
      <c r="B36" s="105"/>
      <c r="C36" s="113" t="str">
        <f>+C8</f>
        <v>30/06/2008</v>
      </c>
      <c r="D36" s="113" t="str">
        <f>+D8</f>
        <v>30/06/2007</v>
      </c>
      <c r="E36" s="113" t="str">
        <f>+E8</f>
        <v>30/06/2008</v>
      </c>
      <c r="F36" s="113" t="str">
        <f>+F8</f>
        <v>30/06/2007</v>
      </c>
    </row>
    <row r="37" spans="1:6" ht="12.75">
      <c r="A37" s="105"/>
      <c r="B37" s="105"/>
      <c r="C37" s="106" t="s">
        <v>412</v>
      </c>
      <c r="D37" s="106" t="s">
        <v>412</v>
      </c>
      <c r="E37" s="106" t="s">
        <v>412</v>
      </c>
      <c r="F37" s="106" t="s">
        <v>412</v>
      </c>
    </row>
    <row r="38" spans="1:6" ht="12.75" hidden="1">
      <c r="A38" s="105"/>
      <c r="B38" s="105"/>
      <c r="C38" s="105"/>
      <c r="D38" s="105"/>
      <c r="E38" s="105"/>
      <c r="F38" s="105"/>
    </row>
    <row r="39" spans="1:6" ht="12.75" hidden="1">
      <c r="A39" s="168"/>
      <c r="B39" s="168" t="s">
        <v>86</v>
      </c>
      <c r="C39" s="169" t="e">
        <f>+CIS!#REF!</f>
        <v>#REF!</v>
      </c>
      <c r="D39" s="169" t="e">
        <f>+CIS!#REF!</f>
        <v>#REF!</v>
      </c>
      <c r="E39" s="169" t="e">
        <f>+CIS!#REF!</f>
        <v>#REF!</v>
      </c>
      <c r="F39" s="169" t="e">
        <f>+CIS!#REF!</f>
        <v>#REF!</v>
      </c>
    </row>
    <row r="40" spans="1:6" ht="12.75">
      <c r="A40" s="105"/>
      <c r="B40" s="105"/>
      <c r="C40" s="105"/>
      <c r="D40" s="105"/>
      <c r="E40" s="105"/>
      <c r="F40" s="105"/>
    </row>
    <row r="41" spans="1:6" ht="12.75">
      <c r="A41" s="105">
        <v>1</v>
      </c>
      <c r="B41" s="105" t="s">
        <v>397</v>
      </c>
      <c r="C41" s="156">
        <v>123.50990000000002</v>
      </c>
      <c r="D41" s="244">
        <v>34</v>
      </c>
      <c r="E41" s="105">
        <v>357.5099</v>
      </c>
      <c r="F41" s="105">
        <v>220.33956000000003</v>
      </c>
    </row>
    <row r="42" spans="1:6" ht="12.75">
      <c r="A42" s="105"/>
      <c r="B42" s="105"/>
      <c r="C42" s="105"/>
      <c r="D42" s="105"/>
      <c r="E42" s="105"/>
      <c r="F42" s="105"/>
    </row>
    <row r="43" spans="1:6" ht="12.75">
      <c r="A43" s="105">
        <v>2</v>
      </c>
      <c r="B43" s="105" t="s">
        <v>84</v>
      </c>
      <c r="C43" s="156">
        <v>0.2826000000000022</v>
      </c>
      <c r="D43" s="110">
        <v>0</v>
      </c>
      <c r="E43" s="105">
        <v>-539.7174</v>
      </c>
      <c r="F43" s="105">
        <v>0</v>
      </c>
    </row>
    <row r="44" spans="1:6" ht="12.75">
      <c r="A44" s="105"/>
      <c r="B44" s="105"/>
      <c r="C44" s="105"/>
      <c r="D44" s="105"/>
      <c r="E44" s="105"/>
      <c r="F44" s="105"/>
    </row>
  </sheetData>
  <sheetProtection/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70"/>
  <sheetViews>
    <sheetView zoomScaleSheetLayoutView="100" workbookViewId="0" topLeftCell="A1">
      <selection activeCell="G46" sqref="G46"/>
    </sheetView>
  </sheetViews>
  <sheetFormatPr defaultColWidth="9.33203125" defaultRowHeight="12.75"/>
  <cols>
    <col min="1" max="1" width="10.5" style="78" customWidth="1"/>
    <col min="2" max="2" width="30.5" style="78" customWidth="1"/>
    <col min="3" max="3" width="12.66015625" style="78" customWidth="1"/>
    <col min="4" max="4" width="1.66796875" style="78" customWidth="1"/>
    <col min="5" max="5" width="12.66015625" style="101" customWidth="1"/>
    <col min="6" max="6" width="1.66796875" style="101" customWidth="1"/>
    <col min="7" max="7" width="12.66015625" style="101" customWidth="1"/>
    <col min="8" max="8" width="1.0078125" style="101" customWidth="1"/>
    <col min="9" max="9" width="12.66015625" style="101" customWidth="1"/>
    <col min="10" max="10" width="3.83203125" style="78" customWidth="1"/>
    <col min="11" max="39" width="9.33203125" style="101" customWidth="1"/>
    <col min="40" max="16384" width="9.33203125" style="78" customWidth="1"/>
  </cols>
  <sheetData>
    <row r="1" spans="1:39" s="84" customFormat="1" ht="12.75">
      <c r="A1" s="79" t="s">
        <v>374</v>
      </c>
      <c r="E1" s="173"/>
      <c r="F1" s="173"/>
      <c r="G1" s="173"/>
      <c r="H1" s="173"/>
      <c r="I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39" s="86" customFormat="1" ht="13.5">
      <c r="A2" s="85" t="s">
        <v>281</v>
      </c>
      <c r="E2" s="249"/>
      <c r="F2" s="249"/>
      <c r="G2" s="249"/>
      <c r="H2" s="249"/>
      <c r="I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</row>
    <row r="3" spans="1:39" s="86" customFormat="1" ht="13.5">
      <c r="A3" s="85"/>
      <c r="E3" s="249"/>
      <c r="F3" s="249"/>
      <c r="G3" s="249"/>
      <c r="H3" s="249"/>
      <c r="I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</row>
    <row r="4" spans="1:39" s="84" customFormat="1" ht="12.75">
      <c r="A4" s="79" t="s">
        <v>119</v>
      </c>
      <c r="E4" s="173"/>
      <c r="F4" s="173"/>
      <c r="G4" s="173"/>
      <c r="H4" s="173"/>
      <c r="I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</row>
    <row r="5" spans="1:39" s="84" customFormat="1" ht="12.75">
      <c r="A5" s="87" t="s">
        <v>465</v>
      </c>
      <c r="E5" s="173"/>
      <c r="F5" s="173"/>
      <c r="G5" s="173"/>
      <c r="H5" s="173"/>
      <c r="I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</row>
    <row r="6" spans="1:39" s="84" customFormat="1" ht="12.75">
      <c r="A6" s="79" t="s">
        <v>170</v>
      </c>
      <c r="E6" s="173"/>
      <c r="F6" s="173"/>
      <c r="G6" s="173"/>
      <c r="H6" s="173"/>
      <c r="I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</row>
    <row r="7" spans="5:39" s="84" customFormat="1" ht="12.75"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</row>
    <row r="8" spans="3:39" s="84" customFormat="1" ht="12.75">
      <c r="C8" s="88" t="s">
        <v>14</v>
      </c>
      <c r="D8" s="88" t="s">
        <v>193</v>
      </c>
      <c r="E8" s="133" t="s">
        <v>366</v>
      </c>
      <c r="F8" s="133"/>
      <c r="G8" s="133" t="s">
        <v>14</v>
      </c>
      <c r="H8" s="133"/>
      <c r="I8" s="133" t="s">
        <v>366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</row>
    <row r="9" spans="3:39" s="84" customFormat="1" ht="12.75">
      <c r="C9" s="88" t="s">
        <v>405</v>
      </c>
      <c r="E9" s="133" t="s">
        <v>123</v>
      </c>
      <c r="F9" s="173"/>
      <c r="G9" s="133" t="s">
        <v>405</v>
      </c>
      <c r="H9" s="173"/>
      <c r="I9" s="173" t="s">
        <v>123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3:39" s="84" customFormat="1" ht="12.75">
      <c r="C10" s="88" t="s">
        <v>120</v>
      </c>
      <c r="E10" s="133" t="s">
        <v>120</v>
      </c>
      <c r="F10" s="173"/>
      <c r="G10" s="133" t="s">
        <v>236</v>
      </c>
      <c r="H10" s="173"/>
      <c r="I10" s="133" t="s">
        <v>236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3:39" s="84" customFormat="1" ht="12.75">
      <c r="C11" s="88" t="s">
        <v>121</v>
      </c>
      <c r="E11" s="133" t="s">
        <v>121</v>
      </c>
      <c r="F11" s="173"/>
      <c r="G11" s="133" t="s">
        <v>88</v>
      </c>
      <c r="H11" s="173"/>
      <c r="I11" s="133" t="s">
        <v>88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</row>
    <row r="12" spans="3:39" s="84" customFormat="1" ht="12.75">
      <c r="C12" s="150">
        <v>39629</v>
      </c>
      <c r="D12" s="116"/>
      <c r="E12" s="250">
        <v>39629</v>
      </c>
      <c r="F12" s="173"/>
      <c r="G12" s="133" t="s">
        <v>122</v>
      </c>
      <c r="H12" s="173"/>
      <c r="I12" s="133" t="s">
        <v>122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</row>
    <row r="13" spans="3:39" s="84" customFormat="1" ht="12.75">
      <c r="C13" s="89"/>
      <c r="E13" s="133"/>
      <c r="F13" s="173"/>
      <c r="G13" s="133"/>
      <c r="H13" s="173"/>
      <c r="I13" s="13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</row>
    <row r="14" spans="3:39" s="84" customFormat="1" ht="12.75">
      <c r="C14" s="151" t="s">
        <v>412</v>
      </c>
      <c r="D14" s="151"/>
      <c r="E14" s="251" t="s">
        <v>412</v>
      </c>
      <c r="F14" s="251"/>
      <c r="G14" s="251" t="s">
        <v>412</v>
      </c>
      <c r="H14" s="251"/>
      <c r="I14" s="251" t="s">
        <v>412</v>
      </c>
      <c r="J14" s="151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</row>
    <row r="15" spans="5:39" s="84" customFormat="1" ht="12.75">
      <c r="E15" s="133"/>
      <c r="F15" s="173"/>
      <c r="G15" s="173"/>
      <c r="H15" s="173"/>
      <c r="I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</row>
    <row r="16" spans="1:39" s="84" customFormat="1" ht="12.75">
      <c r="A16" s="79" t="s">
        <v>124</v>
      </c>
      <c r="C16" s="74">
        <v>1895</v>
      </c>
      <c r="D16" s="74"/>
      <c r="E16" s="130">
        <v>2053</v>
      </c>
      <c r="F16" s="126"/>
      <c r="G16" s="134">
        <v>8808</v>
      </c>
      <c r="H16" s="126"/>
      <c r="I16" s="130">
        <v>7533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</row>
    <row r="17" spans="1:39" s="93" customFormat="1" ht="12.75">
      <c r="A17" s="84"/>
      <c r="B17" s="84"/>
      <c r="C17" s="74"/>
      <c r="D17" s="74"/>
      <c r="E17" s="130"/>
      <c r="F17" s="131"/>
      <c r="G17" s="131"/>
      <c r="H17" s="131"/>
      <c r="I17" s="130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</row>
    <row r="18" spans="1:39" s="93" customFormat="1" ht="12.75">
      <c r="A18" s="93" t="s">
        <v>151</v>
      </c>
      <c r="C18" s="119">
        <v>-1138</v>
      </c>
      <c r="D18" s="92"/>
      <c r="E18" s="128">
        <v>-1978</v>
      </c>
      <c r="F18" s="131"/>
      <c r="G18" s="129">
        <v>-5593</v>
      </c>
      <c r="H18" s="131"/>
      <c r="I18" s="128">
        <v>-6651</v>
      </c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</row>
    <row r="19" spans="1:39" s="93" customFormat="1" ht="12.75">
      <c r="A19" s="93" t="s">
        <v>469</v>
      </c>
      <c r="C19" s="92">
        <f>SUM(C16:C18)</f>
        <v>757</v>
      </c>
      <c r="D19" s="92"/>
      <c r="E19" s="92">
        <f>SUM(E16:E18)</f>
        <v>75</v>
      </c>
      <c r="F19" s="131"/>
      <c r="G19" s="92">
        <f>SUM(G16:G18)</f>
        <v>3215</v>
      </c>
      <c r="H19" s="131"/>
      <c r="I19" s="92">
        <f>SUM(I16:I18)</f>
        <v>882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</row>
    <row r="20" spans="3:39" s="93" customFormat="1" ht="12.75">
      <c r="C20" s="254"/>
      <c r="D20" s="204"/>
      <c r="E20" s="252"/>
      <c r="F20" s="252"/>
      <c r="G20" s="252"/>
      <c r="H20" s="252"/>
      <c r="I20" s="252"/>
      <c r="J20" s="204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</row>
    <row r="21" spans="3:39" s="93" customFormat="1" ht="12.75">
      <c r="C21" s="204"/>
      <c r="D21" s="204"/>
      <c r="E21" s="252"/>
      <c r="F21" s="252"/>
      <c r="G21" s="252"/>
      <c r="H21" s="252"/>
      <c r="I21" s="252"/>
      <c r="J21" s="204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</row>
    <row r="22" spans="1:39" s="93" customFormat="1" ht="12.75">
      <c r="A22" s="93" t="s">
        <v>381</v>
      </c>
      <c r="C22" s="74">
        <v>-244</v>
      </c>
      <c r="D22" s="92"/>
      <c r="E22" s="130">
        <v>-1211</v>
      </c>
      <c r="F22" s="131"/>
      <c r="G22" s="126">
        <f>-3953+540</f>
        <v>-3413</v>
      </c>
      <c r="H22" s="131"/>
      <c r="I22" s="130">
        <v>-4483</v>
      </c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</row>
    <row r="23" spans="3:39" s="93" customFormat="1" ht="12.75">
      <c r="C23" s="92" t="s">
        <v>193</v>
      </c>
      <c r="D23" s="92"/>
      <c r="E23" s="130" t="s">
        <v>193</v>
      </c>
      <c r="F23" s="131"/>
      <c r="G23" s="131"/>
      <c r="H23" s="131"/>
      <c r="I23" s="130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</row>
    <row r="24" spans="1:39" s="93" customFormat="1" ht="12.75">
      <c r="A24" s="183" t="s">
        <v>471</v>
      </c>
      <c r="C24" s="74">
        <v>239</v>
      </c>
      <c r="D24" s="92"/>
      <c r="E24" s="130">
        <v>446</v>
      </c>
      <c r="F24" s="131"/>
      <c r="G24" s="127">
        <v>581</v>
      </c>
      <c r="H24" s="131"/>
      <c r="I24" s="130">
        <v>971</v>
      </c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</row>
    <row r="25" spans="3:39" s="93" customFormat="1" ht="12.75">
      <c r="C25" s="123"/>
      <c r="D25" s="123"/>
      <c r="E25" s="132"/>
      <c r="F25" s="127"/>
      <c r="G25" s="127"/>
      <c r="H25" s="127"/>
      <c r="I25" s="132"/>
      <c r="J25" s="182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</row>
    <row r="26" spans="1:39" s="93" customFormat="1" ht="12.75">
      <c r="A26" s="262" t="s">
        <v>169</v>
      </c>
      <c r="B26" s="183"/>
      <c r="C26" s="74">
        <v>0</v>
      </c>
      <c r="D26" s="92"/>
      <c r="E26" s="130">
        <v>0</v>
      </c>
      <c r="F26" s="131"/>
      <c r="G26" s="127">
        <v>0</v>
      </c>
      <c r="H26" s="131"/>
      <c r="I26" s="130">
        <v>2303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</row>
    <row r="27" spans="1:39" s="93" customFormat="1" ht="12.75">
      <c r="A27" s="183"/>
      <c r="B27" s="183"/>
      <c r="C27" s="123"/>
      <c r="D27" s="123"/>
      <c r="E27" s="127"/>
      <c r="F27" s="127"/>
      <c r="G27" s="127"/>
      <c r="H27" s="127"/>
      <c r="I27" s="127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</row>
    <row r="28" spans="1:39" s="93" customFormat="1" ht="12.75">
      <c r="A28" s="183" t="s">
        <v>198</v>
      </c>
      <c r="B28" s="183"/>
      <c r="C28" s="178">
        <v>6365</v>
      </c>
      <c r="D28" s="92"/>
      <c r="E28" s="132">
        <v>1326</v>
      </c>
      <c r="F28" s="131"/>
      <c r="G28" s="127">
        <v>23986</v>
      </c>
      <c r="H28" s="131"/>
      <c r="I28" s="132">
        <v>4218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</row>
    <row r="29" spans="1:39" s="261" customFormat="1" ht="12.75">
      <c r="A29" s="183"/>
      <c r="B29" s="183"/>
      <c r="C29" s="129"/>
      <c r="D29" s="127"/>
      <c r="E29" s="129" t="s">
        <v>193</v>
      </c>
      <c r="F29" s="127"/>
      <c r="G29" s="129"/>
      <c r="H29" s="127"/>
      <c r="I29" s="129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</row>
    <row r="30" spans="1:39" s="261" customFormat="1" ht="12.75">
      <c r="A30" s="87" t="s">
        <v>475</v>
      </c>
      <c r="B30" s="183"/>
      <c r="C30" s="127">
        <f>SUM(C19:C29)</f>
        <v>7117</v>
      </c>
      <c r="D30" s="127"/>
      <c r="E30" s="127">
        <f>SUM(E19:E29)</f>
        <v>636</v>
      </c>
      <c r="F30" s="127"/>
      <c r="G30" s="127">
        <f>SUM(G19:G29)</f>
        <v>24369</v>
      </c>
      <c r="H30" s="127"/>
      <c r="I30" s="127">
        <f>SUM(I19:I29)</f>
        <v>3891</v>
      </c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</row>
    <row r="31" spans="1:39" s="261" customFormat="1" ht="12.75">
      <c r="A31" s="183"/>
      <c r="B31" s="183"/>
      <c r="C31" s="127"/>
      <c r="D31" s="127"/>
      <c r="E31" s="127"/>
      <c r="F31" s="127"/>
      <c r="G31" s="127"/>
      <c r="H31" s="127"/>
      <c r="I31" s="127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</row>
    <row r="32" spans="1:39" s="261" customFormat="1" ht="12.75">
      <c r="A32" s="183" t="s">
        <v>474</v>
      </c>
      <c r="B32" s="183"/>
      <c r="C32" s="127">
        <v>0</v>
      </c>
      <c r="D32" s="127"/>
      <c r="E32" s="127">
        <v>0</v>
      </c>
      <c r="F32" s="127"/>
      <c r="G32" s="127">
        <v>-540</v>
      </c>
      <c r="H32" s="127"/>
      <c r="I32" s="127">
        <v>0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</row>
    <row r="33" spans="1:39" s="93" customFormat="1" ht="12.75">
      <c r="A33" s="183"/>
      <c r="B33" s="183"/>
      <c r="C33" s="94"/>
      <c r="D33" s="123"/>
      <c r="E33" s="129"/>
      <c r="F33" s="127"/>
      <c r="G33" s="129"/>
      <c r="H33" s="127"/>
      <c r="I33" s="129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</row>
    <row r="34" spans="1:39" s="93" customFormat="1" ht="12.75">
      <c r="A34" s="87" t="s">
        <v>447</v>
      </c>
      <c r="B34" s="183"/>
      <c r="C34" s="123">
        <f>SUM(C29:C33)</f>
        <v>7117</v>
      </c>
      <c r="D34" s="92"/>
      <c r="E34" s="127">
        <f>SUM(E30:E33)</f>
        <v>636</v>
      </c>
      <c r="F34" s="131"/>
      <c r="G34" s="123">
        <f>SUM(G29:G33)</f>
        <v>23829</v>
      </c>
      <c r="H34" s="131"/>
      <c r="I34" s="127">
        <f>SUM(I29:I33)</f>
        <v>3891</v>
      </c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</row>
    <row r="35" spans="3:39" s="93" customFormat="1" ht="12.75">
      <c r="C35" s="131"/>
      <c r="D35" s="92"/>
      <c r="E35" s="131"/>
      <c r="F35" s="131"/>
      <c r="G35" s="131"/>
      <c r="H35" s="131"/>
      <c r="I35" s="131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</row>
    <row r="36" spans="1:39" s="93" customFormat="1" ht="12.75">
      <c r="A36" s="93" t="s">
        <v>188</v>
      </c>
      <c r="C36" s="119">
        <f>27-14</f>
        <v>13</v>
      </c>
      <c r="D36" s="92"/>
      <c r="E36" s="128">
        <v>123</v>
      </c>
      <c r="F36" s="131"/>
      <c r="G36" s="129">
        <f>27-14</f>
        <v>13</v>
      </c>
      <c r="H36" s="131"/>
      <c r="I36" s="128">
        <v>56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</row>
    <row r="37" spans="3:39" s="93" customFormat="1" ht="12.75">
      <c r="C37" s="123"/>
      <c r="D37" s="92"/>
      <c r="E37" s="127"/>
      <c r="F37" s="131"/>
      <c r="G37" s="127"/>
      <c r="H37" s="131"/>
      <c r="I37" s="127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</row>
    <row r="38" spans="1:39" s="93" customFormat="1" ht="13.5" thickBot="1">
      <c r="A38" s="79" t="s">
        <v>448</v>
      </c>
      <c r="C38" s="248">
        <f>SUM(C34:C36)</f>
        <v>7130</v>
      </c>
      <c r="D38" s="123"/>
      <c r="E38" s="253">
        <v>759</v>
      </c>
      <c r="F38" s="127"/>
      <c r="G38" s="253">
        <f>SUM(G34:G36)</f>
        <v>23842</v>
      </c>
      <c r="H38" s="127"/>
      <c r="I38" s="253">
        <f>SUM(I34:I36)</f>
        <v>3947</v>
      </c>
      <c r="J38" s="199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3:39" s="93" customFormat="1" ht="13.5" thickTop="1">
      <c r="C39" s="131"/>
      <c r="D39" s="92"/>
      <c r="E39" s="131"/>
      <c r="F39" s="131"/>
      <c r="G39" s="131"/>
      <c r="H39" s="131"/>
      <c r="I39" s="131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39" s="93" customFormat="1" ht="12.75">
      <c r="A40" s="79" t="s">
        <v>383</v>
      </c>
      <c r="C40" s="131"/>
      <c r="D40" s="92"/>
      <c r="E40" s="131"/>
      <c r="F40" s="131"/>
      <c r="G40" s="131"/>
      <c r="H40" s="131"/>
      <c r="I40" s="131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</row>
    <row r="41" spans="3:39" s="93" customFormat="1" ht="6.75" customHeight="1">
      <c r="C41" s="131"/>
      <c r="D41" s="92"/>
      <c r="E41" s="131"/>
      <c r="F41" s="131"/>
      <c r="G41" s="131"/>
      <c r="H41" s="131"/>
      <c r="I41" s="131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</row>
    <row r="42" spans="1:9" s="183" customFormat="1" ht="12.75">
      <c r="A42" s="183" t="s">
        <v>449</v>
      </c>
      <c r="C42" s="74">
        <v>7130</v>
      </c>
      <c r="D42" s="131"/>
      <c r="E42" s="130">
        <v>759</v>
      </c>
      <c r="F42" s="131"/>
      <c r="G42" s="131">
        <v>23842</v>
      </c>
      <c r="H42" s="131"/>
      <c r="I42" s="131">
        <v>4019</v>
      </c>
    </row>
    <row r="43" spans="3:9" s="183" customFormat="1" ht="12.75">
      <c r="C43" s="131"/>
      <c r="D43" s="131"/>
      <c r="E43" s="131"/>
      <c r="F43" s="131"/>
      <c r="G43" s="131"/>
      <c r="H43" s="131"/>
      <c r="I43" s="131"/>
    </row>
    <row r="44" spans="1:9" s="183" customFormat="1" ht="12.75">
      <c r="A44" s="183" t="s">
        <v>68</v>
      </c>
      <c r="C44" s="74">
        <v>0</v>
      </c>
      <c r="D44" s="131"/>
      <c r="E44" s="130">
        <v>0</v>
      </c>
      <c r="F44" s="131"/>
      <c r="G44" s="256">
        <v>0</v>
      </c>
      <c r="H44" s="131"/>
      <c r="I44" s="130">
        <v>-72.3526245</v>
      </c>
    </row>
    <row r="45" spans="3:39" s="93" customFormat="1" ht="13.5" thickBot="1">
      <c r="C45" s="92"/>
      <c r="D45" s="92"/>
      <c r="E45" s="131"/>
      <c r="F45" s="131"/>
      <c r="G45" s="255"/>
      <c r="H45" s="131"/>
      <c r="I45" s="131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</row>
    <row r="46" spans="1:39" s="93" customFormat="1" ht="13.5" thickBot="1">
      <c r="A46" s="79" t="s">
        <v>450</v>
      </c>
      <c r="C46" s="157">
        <f>SUM(C42:C45)</f>
        <v>7130</v>
      </c>
      <c r="D46" s="92"/>
      <c r="E46" s="157">
        <f>SUM(E42:E45)</f>
        <v>759</v>
      </c>
      <c r="F46" s="131"/>
      <c r="G46" s="157">
        <f>SUM(G42:G45)</f>
        <v>23842</v>
      </c>
      <c r="H46" s="131"/>
      <c r="I46" s="157">
        <f>SUM(I42:I45)</f>
        <v>3946.6473755</v>
      </c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</row>
    <row r="47" spans="3:39" s="93" customFormat="1" ht="12.75">
      <c r="C47" s="92"/>
      <c r="D47" s="92"/>
      <c r="E47" s="131"/>
      <c r="F47" s="131"/>
      <c r="G47" s="131"/>
      <c r="H47" s="131"/>
      <c r="I47" s="131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</row>
    <row r="48" spans="1:39" s="76" customFormat="1" ht="12.75">
      <c r="A48" s="76" t="s">
        <v>244</v>
      </c>
      <c r="B48" s="152" t="s">
        <v>245</v>
      </c>
      <c r="C48" s="196">
        <v>3.01</v>
      </c>
      <c r="D48" s="196"/>
      <c r="E48" s="196">
        <f>+E42/(139330000/1000*2)*100</f>
        <v>0.2723749371994545</v>
      </c>
      <c r="F48" s="200"/>
      <c r="G48" s="196">
        <v>10.07</v>
      </c>
      <c r="H48" s="196"/>
      <c r="I48" s="196">
        <f>+I42/(139330000/1000*2)*100</f>
        <v>1.4422593841957942</v>
      </c>
      <c r="J48" s="103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</row>
    <row r="49" spans="3:39" s="76" customFormat="1" ht="12.75">
      <c r="C49" s="200"/>
      <c r="D49" s="104"/>
      <c r="E49" s="104"/>
      <c r="F49" s="104"/>
      <c r="G49" s="200"/>
      <c r="H49" s="104"/>
      <c r="I49" s="104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</row>
    <row r="50" spans="1:39" s="76" customFormat="1" ht="12.75">
      <c r="A50" s="76" t="s">
        <v>246</v>
      </c>
      <c r="B50" s="152" t="s">
        <v>247</v>
      </c>
      <c r="C50" s="196">
        <v>2.91</v>
      </c>
      <c r="D50" s="191"/>
      <c r="E50" s="196">
        <f>+E42/(139330000/1000*2)*100</f>
        <v>0.2723749371994545</v>
      </c>
      <c r="F50" s="191"/>
      <c r="G50" s="196">
        <v>9.73</v>
      </c>
      <c r="H50" s="191"/>
      <c r="I50" s="196">
        <f>+I42/(139330000/1000*2)*100</f>
        <v>1.4422593841957942</v>
      </c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</row>
    <row r="51" spans="3:39" s="93" customFormat="1" ht="12.75">
      <c r="C51" s="92"/>
      <c r="D51" s="92"/>
      <c r="E51" s="131"/>
      <c r="F51" s="131"/>
      <c r="G51" s="131"/>
      <c r="H51" s="131"/>
      <c r="I51" s="131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</row>
    <row r="52" spans="1:9" ht="12.75">
      <c r="A52" s="95"/>
      <c r="C52" s="96"/>
      <c r="D52" s="96"/>
      <c r="E52" s="102"/>
      <c r="F52" s="102"/>
      <c r="G52" s="102"/>
      <c r="H52" s="102"/>
      <c r="I52" s="102"/>
    </row>
    <row r="53" spans="1:39" s="99" customFormat="1" ht="12.75">
      <c r="A53" s="78"/>
      <c r="B53" s="97"/>
      <c r="C53" s="98"/>
      <c r="D53" s="98"/>
      <c r="E53" s="98"/>
      <c r="F53" s="98"/>
      <c r="G53" s="98"/>
      <c r="H53" s="98"/>
      <c r="I53" s="98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</row>
    <row r="54" spans="1:9" ht="12.75">
      <c r="A54" s="100" t="s">
        <v>280</v>
      </c>
      <c r="B54" s="101"/>
      <c r="C54" s="102"/>
      <c r="D54" s="102"/>
      <c r="E54" s="102"/>
      <c r="F54" s="102"/>
      <c r="G54" s="102"/>
      <c r="H54" s="102"/>
      <c r="I54" s="102"/>
    </row>
    <row r="55" spans="1:9" ht="12.75">
      <c r="A55" s="100" t="s">
        <v>15</v>
      </c>
      <c r="B55" s="101"/>
      <c r="C55" s="102"/>
      <c r="D55" s="102"/>
      <c r="E55" s="102"/>
      <c r="F55" s="102"/>
      <c r="G55" s="102"/>
      <c r="H55" s="102"/>
      <c r="I55" s="102"/>
    </row>
    <row r="56" spans="3:9" ht="12.75">
      <c r="C56" s="96"/>
      <c r="D56" s="96"/>
      <c r="E56" s="102"/>
      <c r="F56" s="102"/>
      <c r="G56" s="102"/>
      <c r="H56" s="102"/>
      <c r="I56" s="102"/>
    </row>
    <row r="57" spans="3:9" ht="12.75">
      <c r="C57" s="96"/>
      <c r="D57" s="96"/>
      <c r="E57" s="102"/>
      <c r="F57" s="102"/>
      <c r="G57" s="102"/>
      <c r="H57" s="102"/>
      <c r="I57" s="102"/>
    </row>
    <row r="58" spans="3:9" ht="12.75">
      <c r="C58" s="96"/>
      <c r="D58" s="96"/>
      <c r="E58" s="102"/>
      <c r="F58" s="102"/>
      <c r="G58" s="102"/>
      <c r="H58" s="102"/>
      <c r="I58" s="102"/>
    </row>
    <row r="59" spans="3:9" ht="12.75">
      <c r="C59" s="96"/>
      <c r="D59" s="96"/>
      <c r="E59" s="102"/>
      <c r="F59" s="102"/>
      <c r="G59" s="102"/>
      <c r="H59" s="102"/>
      <c r="I59" s="102"/>
    </row>
    <row r="60" spans="3:9" ht="12.75">
      <c r="C60" s="96"/>
      <c r="D60" s="96"/>
      <c r="E60" s="102"/>
      <c r="F60" s="102"/>
      <c r="G60" s="102"/>
      <c r="H60" s="102"/>
      <c r="I60" s="102"/>
    </row>
    <row r="61" spans="3:9" ht="12.75">
      <c r="C61" s="96"/>
      <c r="D61" s="96"/>
      <c r="E61" s="102"/>
      <c r="F61" s="102"/>
      <c r="G61" s="102"/>
      <c r="H61" s="102"/>
      <c r="I61" s="102"/>
    </row>
    <row r="62" spans="3:9" ht="12.75">
      <c r="C62" s="96"/>
      <c r="D62" s="96"/>
      <c r="E62" s="102"/>
      <c r="F62" s="102"/>
      <c r="G62" s="102"/>
      <c r="H62" s="102"/>
      <c r="I62" s="102"/>
    </row>
    <row r="63" spans="3:9" ht="12.75">
      <c r="C63" s="96"/>
      <c r="D63" s="96"/>
      <c r="E63" s="102"/>
      <c r="F63" s="102"/>
      <c r="G63" s="102"/>
      <c r="H63" s="102"/>
      <c r="I63" s="102"/>
    </row>
    <row r="64" spans="3:9" ht="12.75">
      <c r="C64" s="96"/>
      <c r="D64" s="96"/>
      <c r="E64" s="102"/>
      <c r="F64" s="102"/>
      <c r="G64" s="102"/>
      <c r="H64" s="102"/>
      <c r="I64" s="102"/>
    </row>
    <row r="65" spans="3:9" ht="12.75">
      <c r="C65" s="96"/>
      <c r="D65" s="96"/>
      <c r="E65" s="102"/>
      <c r="F65" s="102"/>
      <c r="G65" s="102"/>
      <c r="H65" s="102"/>
      <c r="I65" s="102"/>
    </row>
    <row r="66" spans="3:9" ht="12.75">
      <c r="C66" s="96"/>
      <c r="D66" s="96"/>
      <c r="E66" s="102"/>
      <c r="F66" s="102"/>
      <c r="G66" s="102"/>
      <c r="H66" s="102"/>
      <c r="I66" s="102"/>
    </row>
    <row r="67" spans="3:9" ht="12.75">
      <c r="C67" s="96"/>
      <c r="D67" s="96"/>
      <c r="E67" s="102"/>
      <c r="F67" s="102"/>
      <c r="G67" s="102"/>
      <c r="H67" s="102"/>
      <c r="I67" s="102"/>
    </row>
    <row r="68" spans="3:9" ht="12.75">
      <c r="C68" s="96"/>
      <c r="D68" s="96"/>
      <c r="E68" s="102"/>
      <c r="F68" s="102"/>
      <c r="G68" s="102"/>
      <c r="H68" s="102"/>
      <c r="I68" s="102"/>
    </row>
    <row r="69" spans="3:9" ht="12.75">
      <c r="C69" s="96"/>
      <c r="D69" s="96"/>
      <c r="E69" s="102"/>
      <c r="F69" s="102"/>
      <c r="G69" s="102"/>
      <c r="H69" s="102"/>
      <c r="I69" s="102"/>
    </row>
    <row r="70" spans="3:9" ht="12.75">
      <c r="C70" s="96"/>
      <c r="D70" s="96"/>
      <c r="E70" s="102"/>
      <c r="F70" s="102"/>
      <c r="G70" s="102"/>
      <c r="H70" s="102"/>
      <c r="I70" s="102"/>
    </row>
    <row r="71" spans="3:9" ht="12.75">
      <c r="C71" s="96"/>
      <c r="D71" s="96"/>
      <c r="E71" s="102"/>
      <c r="F71" s="102"/>
      <c r="G71" s="102"/>
      <c r="H71" s="102"/>
      <c r="I71" s="102"/>
    </row>
    <row r="72" spans="3:9" ht="12.75">
      <c r="C72" s="96"/>
      <c r="D72" s="96"/>
      <c r="E72" s="102"/>
      <c r="F72" s="102"/>
      <c r="G72" s="102"/>
      <c r="H72" s="102"/>
      <c r="I72" s="102"/>
    </row>
    <row r="73" spans="3:9" ht="12.75">
      <c r="C73" s="96"/>
      <c r="D73" s="96"/>
      <c r="E73" s="102"/>
      <c r="F73" s="102"/>
      <c r="G73" s="102"/>
      <c r="H73" s="102"/>
      <c r="I73" s="102"/>
    </row>
    <row r="74" spans="3:9" ht="12.75">
      <c r="C74" s="96"/>
      <c r="D74" s="96"/>
      <c r="E74" s="102"/>
      <c r="F74" s="102"/>
      <c r="G74" s="102"/>
      <c r="H74" s="102"/>
      <c r="I74" s="102"/>
    </row>
    <row r="75" spans="3:9" ht="12.75">
      <c r="C75" s="96"/>
      <c r="D75" s="96"/>
      <c r="E75" s="102"/>
      <c r="F75" s="102"/>
      <c r="G75" s="102"/>
      <c r="H75" s="102"/>
      <c r="I75" s="102"/>
    </row>
    <row r="76" spans="3:9" ht="12.75">
      <c r="C76" s="96"/>
      <c r="D76" s="96"/>
      <c r="E76" s="102"/>
      <c r="F76" s="102"/>
      <c r="G76" s="102"/>
      <c r="H76" s="102"/>
      <c r="I76" s="102"/>
    </row>
    <row r="77" spans="3:9" ht="12.75">
      <c r="C77" s="96"/>
      <c r="D77" s="96"/>
      <c r="E77" s="102"/>
      <c r="F77" s="102"/>
      <c r="G77" s="102"/>
      <c r="H77" s="102"/>
      <c r="I77" s="102"/>
    </row>
    <row r="78" spans="3:9" ht="12.75">
      <c r="C78" s="96"/>
      <c r="D78" s="96"/>
      <c r="E78" s="102"/>
      <c r="F78" s="102"/>
      <c r="G78" s="102"/>
      <c r="H78" s="102"/>
      <c r="I78" s="102"/>
    </row>
    <row r="79" spans="3:9" ht="12.75">
      <c r="C79" s="96"/>
      <c r="D79" s="96"/>
      <c r="E79" s="102"/>
      <c r="F79" s="102"/>
      <c r="G79" s="102"/>
      <c r="H79" s="102"/>
      <c r="I79" s="102"/>
    </row>
    <row r="80" spans="3:9" ht="12.75">
      <c r="C80" s="96"/>
      <c r="D80" s="96"/>
      <c r="E80" s="102"/>
      <c r="F80" s="102"/>
      <c r="G80" s="102"/>
      <c r="H80" s="102"/>
      <c r="I80" s="102"/>
    </row>
    <row r="81" spans="3:9" ht="12.75">
      <c r="C81" s="96"/>
      <c r="D81" s="96"/>
      <c r="E81" s="102"/>
      <c r="F81" s="102"/>
      <c r="G81" s="102"/>
      <c r="H81" s="102"/>
      <c r="I81" s="102"/>
    </row>
    <row r="82" spans="3:9" ht="12.75">
      <c r="C82" s="96"/>
      <c r="D82" s="96"/>
      <c r="E82" s="102"/>
      <c r="F82" s="102"/>
      <c r="G82" s="102"/>
      <c r="H82" s="102"/>
      <c r="I82" s="102"/>
    </row>
    <row r="83" spans="3:9" ht="12.75">
      <c r="C83" s="96"/>
      <c r="D83" s="96"/>
      <c r="E83" s="102"/>
      <c r="F83" s="102"/>
      <c r="G83" s="102"/>
      <c r="H83" s="102"/>
      <c r="I83" s="102"/>
    </row>
    <row r="84" spans="3:9" ht="12.75">
      <c r="C84" s="96"/>
      <c r="D84" s="96"/>
      <c r="E84" s="102"/>
      <c r="F84" s="102"/>
      <c r="G84" s="102"/>
      <c r="H84" s="102"/>
      <c r="I84" s="102"/>
    </row>
    <row r="85" spans="3:9" ht="12.75">
      <c r="C85" s="96"/>
      <c r="D85" s="96"/>
      <c r="E85" s="102"/>
      <c r="F85" s="102"/>
      <c r="G85" s="102"/>
      <c r="H85" s="102"/>
      <c r="I85" s="102"/>
    </row>
    <row r="86" spans="3:9" ht="12.75">
      <c r="C86" s="96"/>
      <c r="D86" s="96"/>
      <c r="E86" s="102"/>
      <c r="F86" s="102"/>
      <c r="G86" s="102"/>
      <c r="H86" s="102"/>
      <c r="I86" s="102"/>
    </row>
    <row r="87" spans="3:9" ht="12.75">
      <c r="C87" s="96"/>
      <c r="D87" s="96"/>
      <c r="E87" s="102"/>
      <c r="F87" s="102"/>
      <c r="G87" s="102"/>
      <c r="H87" s="102"/>
      <c r="I87" s="102"/>
    </row>
    <row r="88" spans="3:9" ht="12.75">
      <c r="C88" s="96"/>
      <c r="D88" s="96"/>
      <c r="E88" s="102"/>
      <c r="F88" s="102"/>
      <c r="G88" s="102"/>
      <c r="H88" s="102"/>
      <c r="I88" s="102"/>
    </row>
    <row r="89" spans="3:9" ht="12.75">
      <c r="C89" s="96"/>
      <c r="D89" s="96"/>
      <c r="E89" s="102"/>
      <c r="F89" s="102"/>
      <c r="G89" s="102"/>
      <c r="H89" s="102"/>
      <c r="I89" s="102"/>
    </row>
    <row r="90" spans="3:9" ht="12.75">
      <c r="C90" s="96"/>
      <c r="D90" s="96"/>
      <c r="E90" s="102"/>
      <c r="F90" s="102"/>
      <c r="G90" s="102"/>
      <c r="H90" s="102"/>
      <c r="I90" s="102"/>
    </row>
    <row r="91" spans="3:9" ht="12.75">
      <c r="C91" s="96"/>
      <c r="D91" s="96"/>
      <c r="E91" s="102"/>
      <c r="F91" s="102"/>
      <c r="G91" s="102"/>
      <c r="H91" s="102"/>
      <c r="I91" s="102"/>
    </row>
    <row r="92" spans="3:9" ht="12.75">
      <c r="C92" s="96"/>
      <c r="D92" s="96"/>
      <c r="E92" s="102"/>
      <c r="F92" s="102"/>
      <c r="G92" s="102"/>
      <c r="H92" s="102"/>
      <c r="I92" s="102"/>
    </row>
    <row r="93" spans="3:9" ht="12.75">
      <c r="C93" s="96"/>
      <c r="D93" s="96"/>
      <c r="E93" s="102"/>
      <c r="F93" s="102"/>
      <c r="G93" s="102"/>
      <c r="H93" s="102"/>
      <c r="I93" s="102"/>
    </row>
    <row r="94" spans="3:9" ht="12.75">
      <c r="C94" s="96"/>
      <c r="D94" s="96"/>
      <c r="E94" s="102"/>
      <c r="F94" s="102"/>
      <c r="G94" s="102"/>
      <c r="H94" s="102"/>
      <c r="I94" s="102"/>
    </row>
    <row r="95" spans="3:9" ht="12.75">
      <c r="C95" s="96"/>
      <c r="D95" s="96"/>
      <c r="E95" s="102"/>
      <c r="F95" s="102"/>
      <c r="G95" s="102"/>
      <c r="H95" s="102"/>
      <c r="I95" s="102"/>
    </row>
    <row r="96" spans="3:9" ht="12.75">
      <c r="C96" s="96"/>
      <c r="D96" s="96"/>
      <c r="E96" s="102"/>
      <c r="F96" s="102"/>
      <c r="G96" s="102"/>
      <c r="H96" s="102"/>
      <c r="I96" s="102"/>
    </row>
    <row r="97" spans="3:9" ht="12.75">
      <c r="C97" s="96"/>
      <c r="D97" s="96"/>
      <c r="E97" s="102"/>
      <c r="F97" s="102"/>
      <c r="G97" s="102"/>
      <c r="H97" s="102"/>
      <c r="I97" s="102"/>
    </row>
    <row r="98" spans="3:9" ht="12.75">
      <c r="C98" s="96"/>
      <c r="D98" s="96"/>
      <c r="E98" s="102"/>
      <c r="F98" s="102"/>
      <c r="G98" s="102"/>
      <c r="H98" s="102"/>
      <c r="I98" s="102"/>
    </row>
    <row r="99" spans="3:9" ht="12.75">
      <c r="C99" s="96"/>
      <c r="D99" s="96"/>
      <c r="E99" s="102"/>
      <c r="F99" s="102"/>
      <c r="G99" s="102"/>
      <c r="H99" s="102"/>
      <c r="I99" s="102"/>
    </row>
    <row r="100" spans="3:9" ht="12.75">
      <c r="C100" s="96"/>
      <c r="D100" s="96"/>
      <c r="E100" s="102"/>
      <c r="F100" s="102"/>
      <c r="G100" s="102"/>
      <c r="H100" s="102"/>
      <c r="I100" s="102"/>
    </row>
    <row r="101" spans="3:9" ht="12.75">
      <c r="C101" s="96"/>
      <c r="D101" s="96"/>
      <c r="E101" s="102"/>
      <c r="F101" s="102"/>
      <c r="G101" s="102"/>
      <c r="H101" s="102"/>
      <c r="I101" s="102"/>
    </row>
    <row r="102" spans="3:9" ht="12.75">
      <c r="C102" s="96"/>
      <c r="D102" s="96"/>
      <c r="E102" s="102"/>
      <c r="F102" s="102"/>
      <c r="G102" s="102"/>
      <c r="H102" s="102"/>
      <c r="I102" s="102"/>
    </row>
    <row r="103" spans="3:9" ht="12.75">
      <c r="C103" s="96"/>
      <c r="D103" s="96"/>
      <c r="E103" s="102"/>
      <c r="F103" s="102"/>
      <c r="G103" s="102"/>
      <c r="H103" s="102"/>
      <c r="I103" s="102"/>
    </row>
    <row r="104" spans="3:9" ht="12.75">
      <c r="C104" s="96"/>
      <c r="D104" s="96"/>
      <c r="E104" s="102"/>
      <c r="F104" s="102"/>
      <c r="G104" s="102"/>
      <c r="H104" s="102"/>
      <c r="I104" s="102"/>
    </row>
    <row r="105" spans="3:9" ht="12.75">
      <c r="C105" s="96"/>
      <c r="D105" s="96"/>
      <c r="E105" s="102"/>
      <c r="F105" s="102"/>
      <c r="G105" s="102"/>
      <c r="H105" s="102"/>
      <c r="I105" s="102"/>
    </row>
    <row r="106" spans="3:9" ht="12.75">
      <c r="C106" s="96"/>
      <c r="D106" s="96"/>
      <c r="E106" s="102"/>
      <c r="F106" s="102"/>
      <c r="G106" s="102"/>
      <c r="H106" s="102"/>
      <c r="I106" s="102"/>
    </row>
    <row r="107" spans="3:9" ht="12.75">
      <c r="C107" s="96"/>
      <c r="D107" s="96"/>
      <c r="E107" s="102"/>
      <c r="F107" s="102"/>
      <c r="G107" s="102"/>
      <c r="H107" s="102"/>
      <c r="I107" s="102"/>
    </row>
    <row r="108" spans="3:9" ht="12.75">
      <c r="C108" s="96"/>
      <c r="D108" s="96"/>
      <c r="E108" s="102"/>
      <c r="F108" s="102"/>
      <c r="G108" s="102"/>
      <c r="H108" s="102"/>
      <c r="I108" s="102"/>
    </row>
    <row r="109" spans="3:9" ht="12.75">
      <c r="C109" s="96"/>
      <c r="D109" s="96"/>
      <c r="E109" s="102"/>
      <c r="F109" s="102"/>
      <c r="G109" s="102"/>
      <c r="H109" s="102"/>
      <c r="I109" s="102"/>
    </row>
    <row r="110" spans="3:9" ht="12.75">
      <c r="C110" s="96"/>
      <c r="D110" s="96"/>
      <c r="E110" s="102"/>
      <c r="F110" s="102"/>
      <c r="G110" s="102"/>
      <c r="H110" s="102"/>
      <c r="I110" s="102"/>
    </row>
    <row r="111" spans="3:9" ht="12.75">
      <c r="C111" s="96"/>
      <c r="D111" s="96"/>
      <c r="E111" s="102"/>
      <c r="F111" s="102"/>
      <c r="G111" s="102"/>
      <c r="H111" s="102"/>
      <c r="I111" s="102"/>
    </row>
    <row r="112" spans="3:9" ht="12.75">
      <c r="C112" s="96"/>
      <c r="D112" s="96"/>
      <c r="E112" s="102"/>
      <c r="F112" s="102"/>
      <c r="G112" s="102"/>
      <c r="H112" s="102"/>
      <c r="I112" s="102"/>
    </row>
    <row r="113" spans="3:9" ht="12.75">
      <c r="C113" s="96"/>
      <c r="D113" s="96"/>
      <c r="E113" s="102"/>
      <c r="F113" s="102"/>
      <c r="G113" s="102"/>
      <c r="H113" s="102"/>
      <c r="I113" s="102"/>
    </row>
    <row r="114" spans="3:9" ht="12.75">
      <c r="C114" s="96"/>
      <c r="D114" s="96"/>
      <c r="E114" s="102"/>
      <c r="F114" s="102"/>
      <c r="G114" s="102"/>
      <c r="H114" s="102"/>
      <c r="I114" s="102"/>
    </row>
    <row r="115" spans="3:9" ht="12.75">
      <c r="C115" s="96"/>
      <c r="D115" s="96"/>
      <c r="E115" s="102"/>
      <c r="F115" s="102"/>
      <c r="G115" s="102"/>
      <c r="H115" s="102"/>
      <c r="I115" s="102"/>
    </row>
    <row r="116" spans="3:9" ht="12.75">
      <c r="C116" s="96"/>
      <c r="D116" s="96"/>
      <c r="E116" s="102"/>
      <c r="F116" s="102"/>
      <c r="G116" s="102"/>
      <c r="H116" s="102"/>
      <c r="I116" s="102"/>
    </row>
    <row r="117" spans="3:9" ht="12.75">
      <c r="C117" s="96"/>
      <c r="D117" s="96"/>
      <c r="E117" s="102"/>
      <c r="F117" s="102"/>
      <c r="G117" s="102"/>
      <c r="H117" s="102"/>
      <c r="I117" s="102"/>
    </row>
    <row r="118" spans="3:9" ht="12.75">
      <c r="C118" s="96"/>
      <c r="D118" s="96"/>
      <c r="E118" s="102"/>
      <c r="F118" s="102"/>
      <c r="G118" s="102"/>
      <c r="H118" s="102"/>
      <c r="I118" s="102"/>
    </row>
    <row r="119" spans="3:9" ht="12.75">
      <c r="C119" s="96"/>
      <c r="D119" s="96"/>
      <c r="E119" s="102"/>
      <c r="F119" s="102"/>
      <c r="G119" s="102"/>
      <c r="H119" s="102"/>
      <c r="I119" s="102"/>
    </row>
    <row r="120" spans="3:9" ht="12.75">
      <c r="C120" s="96"/>
      <c r="D120" s="96"/>
      <c r="E120" s="102"/>
      <c r="F120" s="102"/>
      <c r="G120" s="102"/>
      <c r="H120" s="102"/>
      <c r="I120" s="102"/>
    </row>
    <row r="121" spans="3:9" ht="12.75">
      <c r="C121" s="96"/>
      <c r="D121" s="96"/>
      <c r="E121" s="102"/>
      <c r="F121" s="102"/>
      <c r="G121" s="102"/>
      <c r="H121" s="102"/>
      <c r="I121" s="102"/>
    </row>
    <row r="122" spans="3:9" ht="12.75">
      <c r="C122" s="96"/>
      <c r="D122" s="96"/>
      <c r="E122" s="102"/>
      <c r="F122" s="102"/>
      <c r="G122" s="102"/>
      <c r="H122" s="102"/>
      <c r="I122" s="102"/>
    </row>
    <row r="123" spans="3:9" ht="12.75">
      <c r="C123" s="96"/>
      <c r="D123" s="96"/>
      <c r="E123" s="102"/>
      <c r="F123" s="102"/>
      <c r="G123" s="102"/>
      <c r="H123" s="102"/>
      <c r="I123" s="102"/>
    </row>
    <row r="124" spans="3:9" ht="12.75">
      <c r="C124" s="96"/>
      <c r="D124" s="96"/>
      <c r="E124" s="102"/>
      <c r="F124" s="102"/>
      <c r="G124" s="102"/>
      <c r="H124" s="102"/>
      <c r="I124" s="102"/>
    </row>
    <row r="125" spans="3:9" ht="12.75">
      <c r="C125" s="96"/>
      <c r="D125" s="96"/>
      <c r="E125" s="102"/>
      <c r="F125" s="102"/>
      <c r="G125" s="102"/>
      <c r="H125" s="102"/>
      <c r="I125" s="102"/>
    </row>
    <row r="126" spans="3:9" ht="12.75">
      <c r="C126" s="96"/>
      <c r="D126" s="96"/>
      <c r="E126" s="102"/>
      <c r="F126" s="102"/>
      <c r="G126" s="102"/>
      <c r="H126" s="102"/>
      <c r="I126" s="102"/>
    </row>
    <row r="127" spans="3:9" ht="12.75">
      <c r="C127" s="96"/>
      <c r="D127" s="96"/>
      <c r="E127" s="102"/>
      <c r="F127" s="102"/>
      <c r="G127" s="102"/>
      <c r="H127" s="102"/>
      <c r="I127" s="102"/>
    </row>
    <row r="128" spans="3:9" ht="12.75">
      <c r="C128" s="96"/>
      <c r="D128" s="96"/>
      <c r="E128" s="102"/>
      <c r="F128" s="102"/>
      <c r="G128" s="102"/>
      <c r="H128" s="102"/>
      <c r="I128" s="102"/>
    </row>
    <row r="129" spans="3:9" ht="12.75">
      <c r="C129" s="96"/>
      <c r="D129" s="96"/>
      <c r="E129" s="102"/>
      <c r="F129" s="102"/>
      <c r="G129" s="102"/>
      <c r="H129" s="102"/>
      <c r="I129" s="102"/>
    </row>
    <row r="130" spans="3:9" ht="12.75">
      <c r="C130" s="96"/>
      <c r="D130" s="96"/>
      <c r="E130" s="102"/>
      <c r="F130" s="102"/>
      <c r="G130" s="102"/>
      <c r="H130" s="102"/>
      <c r="I130" s="102"/>
    </row>
    <row r="131" spans="3:9" ht="12.75">
      <c r="C131" s="96"/>
      <c r="D131" s="96"/>
      <c r="E131" s="102"/>
      <c r="F131" s="102"/>
      <c r="G131" s="102"/>
      <c r="H131" s="102"/>
      <c r="I131" s="102"/>
    </row>
    <row r="132" spans="3:9" ht="12.75">
      <c r="C132" s="96"/>
      <c r="D132" s="96"/>
      <c r="E132" s="102"/>
      <c r="F132" s="102"/>
      <c r="G132" s="102"/>
      <c r="H132" s="102"/>
      <c r="I132" s="102"/>
    </row>
    <row r="133" spans="3:9" ht="12.75">
      <c r="C133" s="96"/>
      <c r="D133" s="96"/>
      <c r="E133" s="102"/>
      <c r="F133" s="102"/>
      <c r="G133" s="102"/>
      <c r="H133" s="102"/>
      <c r="I133" s="102"/>
    </row>
    <row r="134" spans="3:9" ht="12.75">
      <c r="C134" s="96"/>
      <c r="D134" s="96"/>
      <c r="E134" s="102"/>
      <c r="F134" s="102"/>
      <c r="G134" s="102"/>
      <c r="H134" s="102"/>
      <c r="I134" s="102"/>
    </row>
    <row r="135" spans="3:9" ht="12.75">
      <c r="C135" s="96"/>
      <c r="D135" s="96"/>
      <c r="E135" s="102"/>
      <c r="F135" s="102"/>
      <c r="G135" s="102"/>
      <c r="H135" s="102"/>
      <c r="I135" s="102"/>
    </row>
    <row r="136" spans="3:9" ht="12.75">
      <c r="C136" s="96"/>
      <c r="D136" s="96"/>
      <c r="E136" s="102"/>
      <c r="F136" s="102"/>
      <c r="G136" s="102"/>
      <c r="H136" s="102"/>
      <c r="I136" s="102"/>
    </row>
    <row r="137" spans="3:9" ht="12.75">
      <c r="C137" s="96"/>
      <c r="D137" s="96"/>
      <c r="E137" s="102"/>
      <c r="F137" s="102"/>
      <c r="G137" s="102"/>
      <c r="H137" s="102"/>
      <c r="I137" s="102"/>
    </row>
    <row r="138" spans="3:9" ht="12.75">
      <c r="C138" s="96"/>
      <c r="D138" s="96"/>
      <c r="E138" s="102"/>
      <c r="F138" s="102"/>
      <c r="G138" s="102"/>
      <c r="H138" s="102"/>
      <c r="I138" s="102"/>
    </row>
    <row r="139" spans="3:9" ht="12.75">
      <c r="C139" s="96"/>
      <c r="D139" s="96"/>
      <c r="E139" s="102"/>
      <c r="F139" s="102"/>
      <c r="G139" s="102"/>
      <c r="H139" s="102"/>
      <c r="I139" s="102"/>
    </row>
    <row r="140" spans="3:9" ht="12.75">
      <c r="C140" s="96"/>
      <c r="D140" s="96"/>
      <c r="E140" s="102"/>
      <c r="F140" s="102"/>
      <c r="G140" s="102"/>
      <c r="H140" s="102"/>
      <c r="I140" s="102"/>
    </row>
    <row r="141" spans="3:9" ht="12.75">
      <c r="C141" s="96"/>
      <c r="D141" s="96"/>
      <c r="E141" s="102"/>
      <c r="F141" s="102"/>
      <c r="G141" s="102"/>
      <c r="H141" s="102"/>
      <c r="I141" s="102"/>
    </row>
    <row r="142" spans="3:9" ht="12.75">
      <c r="C142" s="96"/>
      <c r="D142" s="96"/>
      <c r="E142" s="102"/>
      <c r="F142" s="102"/>
      <c r="G142" s="102"/>
      <c r="H142" s="102"/>
      <c r="I142" s="102"/>
    </row>
    <row r="143" spans="3:9" ht="12.75">
      <c r="C143" s="96"/>
      <c r="D143" s="96"/>
      <c r="E143" s="102"/>
      <c r="F143" s="102"/>
      <c r="G143" s="102"/>
      <c r="H143" s="102"/>
      <c r="I143" s="102"/>
    </row>
    <row r="144" spans="3:9" ht="12.75">
      <c r="C144" s="96"/>
      <c r="D144" s="96"/>
      <c r="E144" s="102"/>
      <c r="F144" s="102"/>
      <c r="G144" s="102"/>
      <c r="H144" s="102"/>
      <c r="I144" s="102"/>
    </row>
    <row r="145" spans="3:9" ht="12.75">
      <c r="C145" s="96"/>
      <c r="D145" s="96"/>
      <c r="E145" s="102"/>
      <c r="F145" s="102"/>
      <c r="G145" s="102"/>
      <c r="H145" s="102"/>
      <c r="I145" s="102"/>
    </row>
    <row r="146" spans="3:9" ht="12.75">
      <c r="C146" s="96"/>
      <c r="D146" s="96"/>
      <c r="E146" s="102"/>
      <c r="F146" s="102"/>
      <c r="G146" s="102"/>
      <c r="H146" s="102"/>
      <c r="I146" s="102"/>
    </row>
    <row r="147" spans="3:9" ht="12.75">
      <c r="C147" s="96"/>
      <c r="D147" s="96"/>
      <c r="E147" s="102"/>
      <c r="F147" s="102"/>
      <c r="G147" s="102"/>
      <c r="H147" s="102"/>
      <c r="I147" s="102"/>
    </row>
    <row r="148" spans="3:9" ht="12.75">
      <c r="C148" s="96"/>
      <c r="D148" s="96"/>
      <c r="E148" s="102"/>
      <c r="F148" s="102"/>
      <c r="G148" s="102"/>
      <c r="H148" s="102"/>
      <c r="I148" s="102"/>
    </row>
    <row r="149" spans="3:9" ht="12.75">
      <c r="C149" s="96"/>
      <c r="D149" s="96"/>
      <c r="E149" s="102"/>
      <c r="F149" s="102"/>
      <c r="G149" s="102"/>
      <c r="H149" s="102"/>
      <c r="I149" s="102"/>
    </row>
    <row r="150" spans="3:9" ht="12.75">
      <c r="C150" s="96"/>
      <c r="D150" s="96"/>
      <c r="E150" s="102"/>
      <c r="F150" s="102"/>
      <c r="G150" s="102"/>
      <c r="H150" s="102"/>
      <c r="I150" s="102"/>
    </row>
    <row r="151" spans="3:9" ht="12.75">
      <c r="C151" s="96"/>
      <c r="D151" s="96"/>
      <c r="E151" s="102"/>
      <c r="F151" s="102"/>
      <c r="G151" s="102"/>
      <c r="H151" s="102"/>
      <c r="I151" s="102"/>
    </row>
    <row r="152" spans="3:9" ht="12.75">
      <c r="C152" s="96"/>
      <c r="D152" s="96"/>
      <c r="E152" s="102"/>
      <c r="F152" s="102"/>
      <c r="G152" s="102"/>
      <c r="H152" s="102"/>
      <c r="I152" s="102"/>
    </row>
    <row r="153" spans="3:9" ht="12.75">
      <c r="C153" s="96"/>
      <c r="D153" s="96"/>
      <c r="E153" s="102"/>
      <c r="F153" s="102"/>
      <c r="G153" s="102"/>
      <c r="H153" s="102"/>
      <c r="I153" s="102"/>
    </row>
    <row r="154" spans="3:9" ht="12.75">
      <c r="C154" s="96"/>
      <c r="D154" s="96"/>
      <c r="E154" s="102"/>
      <c r="F154" s="102"/>
      <c r="G154" s="102"/>
      <c r="H154" s="102"/>
      <c r="I154" s="102"/>
    </row>
    <row r="155" spans="3:9" ht="12.75">
      <c r="C155" s="96"/>
      <c r="D155" s="96"/>
      <c r="E155" s="102"/>
      <c r="F155" s="102"/>
      <c r="G155" s="102"/>
      <c r="H155" s="102"/>
      <c r="I155" s="102"/>
    </row>
    <row r="156" spans="3:9" ht="12.75">
      <c r="C156" s="96"/>
      <c r="D156" s="96"/>
      <c r="E156" s="102"/>
      <c r="F156" s="102"/>
      <c r="G156" s="102"/>
      <c r="H156" s="102"/>
      <c r="I156" s="102"/>
    </row>
    <row r="157" spans="3:9" ht="12.75">
      <c r="C157" s="96"/>
      <c r="D157" s="96"/>
      <c r="E157" s="102"/>
      <c r="F157" s="102"/>
      <c r="G157" s="102"/>
      <c r="H157" s="102"/>
      <c r="I157" s="102"/>
    </row>
    <row r="158" spans="3:9" ht="12.75">
      <c r="C158" s="96"/>
      <c r="D158" s="96"/>
      <c r="E158" s="102"/>
      <c r="F158" s="102"/>
      <c r="G158" s="102"/>
      <c r="H158" s="102"/>
      <c r="I158" s="102"/>
    </row>
    <row r="159" spans="3:9" ht="12.75">
      <c r="C159" s="96"/>
      <c r="D159" s="96"/>
      <c r="E159" s="102"/>
      <c r="F159" s="102"/>
      <c r="G159" s="102"/>
      <c r="H159" s="102"/>
      <c r="I159" s="102"/>
    </row>
    <row r="160" spans="3:9" ht="12.75">
      <c r="C160" s="96"/>
      <c r="D160" s="96"/>
      <c r="E160" s="102"/>
      <c r="F160" s="102"/>
      <c r="G160" s="102"/>
      <c r="H160" s="102"/>
      <c r="I160" s="102"/>
    </row>
    <row r="161" spans="3:9" ht="12.75">
      <c r="C161" s="96"/>
      <c r="D161" s="96"/>
      <c r="E161" s="102"/>
      <c r="F161" s="102"/>
      <c r="G161" s="102"/>
      <c r="H161" s="102"/>
      <c r="I161" s="102"/>
    </row>
    <row r="162" spans="3:9" ht="12.75">
      <c r="C162" s="96"/>
      <c r="D162" s="96"/>
      <c r="E162" s="102"/>
      <c r="F162" s="102"/>
      <c r="G162" s="102"/>
      <c r="H162" s="102"/>
      <c r="I162" s="102"/>
    </row>
    <row r="163" spans="3:9" ht="12.75">
      <c r="C163" s="96"/>
      <c r="D163" s="96"/>
      <c r="E163" s="102"/>
      <c r="F163" s="102"/>
      <c r="G163" s="102"/>
      <c r="H163" s="102"/>
      <c r="I163" s="102"/>
    </row>
    <row r="164" spans="3:9" ht="12.75">
      <c r="C164" s="96"/>
      <c r="D164" s="96"/>
      <c r="E164" s="102"/>
      <c r="F164" s="102"/>
      <c r="G164" s="102"/>
      <c r="H164" s="102"/>
      <c r="I164" s="102"/>
    </row>
    <row r="165" spans="3:9" ht="12.75">
      <c r="C165" s="96"/>
      <c r="D165" s="96"/>
      <c r="E165" s="102"/>
      <c r="F165" s="102"/>
      <c r="G165" s="102"/>
      <c r="H165" s="102"/>
      <c r="I165" s="102"/>
    </row>
    <row r="166" spans="3:9" ht="12.75">
      <c r="C166" s="96"/>
      <c r="D166" s="96"/>
      <c r="E166" s="102"/>
      <c r="F166" s="102"/>
      <c r="G166" s="102"/>
      <c r="H166" s="102"/>
      <c r="I166" s="102"/>
    </row>
    <row r="167" spans="3:9" ht="12.75">
      <c r="C167" s="96"/>
      <c r="D167" s="96"/>
      <c r="E167" s="102"/>
      <c r="F167" s="102"/>
      <c r="G167" s="102"/>
      <c r="H167" s="102"/>
      <c r="I167" s="102"/>
    </row>
    <row r="168" spans="3:9" ht="12.75">
      <c r="C168" s="96"/>
      <c r="D168" s="96"/>
      <c r="E168" s="102"/>
      <c r="F168" s="102"/>
      <c r="G168" s="102"/>
      <c r="H168" s="102"/>
      <c r="I168" s="102"/>
    </row>
    <row r="169" spans="3:9" ht="12.75">
      <c r="C169" s="96"/>
      <c r="D169" s="96"/>
      <c r="E169" s="102"/>
      <c r="F169" s="102"/>
      <c r="G169" s="102"/>
      <c r="H169" s="102"/>
      <c r="I169" s="102"/>
    </row>
    <row r="170" spans="3:9" ht="12.75">
      <c r="C170" s="96"/>
      <c r="D170" s="96"/>
      <c r="E170" s="102"/>
      <c r="F170" s="102"/>
      <c r="G170" s="102"/>
      <c r="H170" s="102"/>
      <c r="I170" s="102"/>
    </row>
    <row r="171" spans="3:9" ht="12.75">
      <c r="C171" s="96"/>
      <c r="D171" s="96"/>
      <c r="E171" s="102"/>
      <c r="F171" s="102"/>
      <c r="G171" s="102"/>
      <c r="H171" s="102"/>
      <c r="I171" s="102"/>
    </row>
    <row r="172" spans="3:9" ht="12.75">
      <c r="C172" s="96"/>
      <c r="D172" s="96"/>
      <c r="E172" s="102"/>
      <c r="F172" s="102"/>
      <c r="G172" s="102"/>
      <c r="H172" s="102"/>
      <c r="I172" s="102"/>
    </row>
    <row r="173" spans="3:9" ht="12.75">
      <c r="C173" s="96"/>
      <c r="D173" s="96"/>
      <c r="E173" s="102"/>
      <c r="F173" s="102"/>
      <c r="G173" s="102"/>
      <c r="H173" s="102"/>
      <c r="I173" s="102"/>
    </row>
    <row r="174" spans="3:9" ht="12.75">
      <c r="C174" s="96"/>
      <c r="D174" s="96"/>
      <c r="E174" s="102"/>
      <c r="F174" s="102"/>
      <c r="G174" s="102"/>
      <c r="H174" s="102"/>
      <c r="I174" s="102"/>
    </row>
    <row r="175" spans="3:9" ht="12.75">
      <c r="C175" s="96"/>
      <c r="D175" s="96"/>
      <c r="E175" s="102"/>
      <c r="F175" s="102"/>
      <c r="G175" s="102"/>
      <c r="H175" s="102"/>
      <c r="I175" s="102"/>
    </row>
    <row r="176" spans="3:9" ht="12.75">
      <c r="C176" s="96"/>
      <c r="D176" s="96"/>
      <c r="E176" s="102"/>
      <c r="F176" s="102"/>
      <c r="G176" s="102"/>
      <c r="H176" s="102"/>
      <c r="I176" s="102"/>
    </row>
    <row r="177" spans="3:9" ht="12.75">
      <c r="C177" s="96"/>
      <c r="D177" s="96"/>
      <c r="E177" s="102"/>
      <c r="F177" s="102"/>
      <c r="G177" s="102"/>
      <c r="H177" s="102"/>
      <c r="I177" s="102"/>
    </row>
    <row r="178" spans="3:9" ht="12.75">
      <c r="C178" s="96"/>
      <c r="D178" s="96"/>
      <c r="E178" s="102"/>
      <c r="F178" s="102"/>
      <c r="G178" s="102"/>
      <c r="H178" s="102"/>
      <c r="I178" s="102"/>
    </row>
    <row r="179" spans="3:9" ht="12.75">
      <c r="C179" s="96"/>
      <c r="D179" s="96"/>
      <c r="E179" s="102"/>
      <c r="F179" s="102"/>
      <c r="G179" s="102"/>
      <c r="H179" s="102"/>
      <c r="I179" s="102"/>
    </row>
    <row r="180" spans="3:9" ht="12.75">
      <c r="C180" s="96"/>
      <c r="D180" s="96"/>
      <c r="E180" s="102"/>
      <c r="F180" s="102"/>
      <c r="G180" s="102"/>
      <c r="H180" s="102"/>
      <c r="I180" s="102"/>
    </row>
    <row r="181" spans="3:9" ht="12.75">
      <c r="C181" s="96"/>
      <c r="D181" s="96"/>
      <c r="E181" s="102"/>
      <c r="F181" s="102"/>
      <c r="G181" s="102"/>
      <c r="H181" s="102"/>
      <c r="I181" s="102"/>
    </row>
    <row r="182" spans="3:9" ht="12.75">
      <c r="C182" s="96"/>
      <c r="D182" s="96"/>
      <c r="E182" s="102"/>
      <c r="F182" s="102"/>
      <c r="G182" s="102"/>
      <c r="H182" s="102"/>
      <c r="I182" s="102"/>
    </row>
    <row r="183" spans="3:9" ht="12.75">
      <c r="C183" s="96"/>
      <c r="D183" s="96"/>
      <c r="E183" s="102"/>
      <c r="F183" s="102"/>
      <c r="G183" s="102"/>
      <c r="H183" s="102"/>
      <c r="I183" s="102"/>
    </row>
    <row r="184" spans="3:9" ht="12.75">
      <c r="C184" s="96"/>
      <c r="D184" s="96"/>
      <c r="E184" s="102"/>
      <c r="F184" s="102"/>
      <c r="G184" s="102"/>
      <c r="H184" s="102"/>
      <c r="I184" s="102"/>
    </row>
    <row r="185" spans="3:9" ht="12.75">
      <c r="C185" s="96"/>
      <c r="D185" s="96"/>
      <c r="E185" s="102"/>
      <c r="F185" s="102"/>
      <c r="G185" s="102"/>
      <c r="H185" s="102"/>
      <c r="I185" s="102"/>
    </row>
    <row r="186" spans="3:9" ht="12.75">
      <c r="C186" s="96"/>
      <c r="D186" s="96"/>
      <c r="E186" s="102"/>
      <c r="F186" s="102"/>
      <c r="G186" s="102"/>
      <c r="H186" s="102"/>
      <c r="I186" s="102"/>
    </row>
    <row r="187" spans="3:9" ht="12.75">
      <c r="C187" s="96"/>
      <c r="D187" s="96"/>
      <c r="E187" s="102"/>
      <c r="F187" s="102"/>
      <c r="G187" s="102"/>
      <c r="H187" s="102"/>
      <c r="I187" s="102"/>
    </row>
    <row r="188" spans="3:9" ht="12.75">
      <c r="C188" s="96"/>
      <c r="D188" s="96"/>
      <c r="E188" s="102"/>
      <c r="F188" s="102"/>
      <c r="G188" s="102"/>
      <c r="H188" s="102"/>
      <c r="I188" s="102"/>
    </row>
    <row r="189" spans="3:9" ht="12.75">
      <c r="C189" s="96"/>
      <c r="D189" s="96"/>
      <c r="E189" s="102"/>
      <c r="F189" s="102"/>
      <c r="G189" s="102"/>
      <c r="H189" s="102"/>
      <c r="I189" s="102"/>
    </row>
    <row r="190" spans="3:9" ht="12.75">
      <c r="C190" s="96"/>
      <c r="D190" s="96"/>
      <c r="E190" s="102"/>
      <c r="F190" s="102"/>
      <c r="G190" s="102"/>
      <c r="H190" s="102"/>
      <c r="I190" s="102"/>
    </row>
    <row r="191" spans="3:9" ht="12.75">
      <c r="C191" s="96"/>
      <c r="D191" s="96"/>
      <c r="E191" s="102"/>
      <c r="F191" s="102"/>
      <c r="G191" s="102"/>
      <c r="H191" s="102"/>
      <c r="I191" s="102"/>
    </row>
    <row r="192" spans="3:9" ht="12.75">
      <c r="C192" s="96"/>
      <c r="D192" s="96"/>
      <c r="E192" s="102"/>
      <c r="F192" s="102"/>
      <c r="G192" s="102"/>
      <c r="H192" s="102"/>
      <c r="I192" s="102"/>
    </row>
    <row r="193" spans="3:9" ht="12.75">
      <c r="C193" s="96"/>
      <c r="D193" s="96"/>
      <c r="E193" s="102"/>
      <c r="F193" s="102"/>
      <c r="G193" s="102"/>
      <c r="H193" s="102"/>
      <c r="I193" s="102"/>
    </row>
    <row r="194" spans="3:9" ht="12.75">
      <c r="C194" s="96"/>
      <c r="D194" s="96"/>
      <c r="E194" s="102"/>
      <c r="F194" s="102"/>
      <c r="G194" s="102"/>
      <c r="H194" s="102"/>
      <c r="I194" s="102"/>
    </row>
    <row r="195" spans="3:9" ht="12.75">
      <c r="C195" s="96"/>
      <c r="D195" s="96"/>
      <c r="E195" s="102"/>
      <c r="F195" s="102"/>
      <c r="G195" s="102"/>
      <c r="H195" s="102"/>
      <c r="I195" s="102"/>
    </row>
    <row r="196" spans="3:9" ht="12.75">
      <c r="C196" s="96"/>
      <c r="D196" s="96"/>
      <c r="E196" s="102"/>
      <c r="F196" s="102"/>
      <c r="G196" s="102"/>
      <c r="H196" s="102"/>
      <c r="I196" s="102"/>
    </row>
    <row r="197" spans="3:9" ht="12.75">
      <c r="C197" s="96"/>
      <c r="D197" s="96"/>
      <c r="E197" s="102"/>
      <c r="F197" s="102"/>
      <c r="G197" s="102"/>
      <c r="H197" s="102"/>
      <c r="I197" s="102"/>
    </row>
    <row r="198" spans="3:9" ht="12.75">
      <c r="C198" s="96"/>
      <c r="D198" s="96"/>
      <c r="E198" s="102"/>
      <c r="F198" s="102"/>
      <c r="G198" s="102"/>
      <c r="H198" s="102"/>
      <c r="I198" s="102"/>
    </row>
    <row r="199" spans="3:9" ht="12.75">
      <c r="C199" s="96"/>
      <c r="D199" s="96"/>
      <c r="E199" s="102"/>
      <c r="F199" s="102"/>
      <c r="G199" s="102"/>
      <c r="H199" s="102"/>
      <c r="I199" s="102"/>
    </row>
    <row r="200" spans="3:9" ht="12.75">
      <c r="C200" s="96"/>
      <c r="D200" s="96"/>
      <c r="E200" s="102"/>
      <c r="F200" s="102"/>
      <c r="G200" s="102"/>
      <c r="H200" s="102"/>
      <c r="I200" s="102"/>
    </row>
    <row r="201" spans="3:9" ht="12.75">
      <c r="C201" s="96"/>
      <c r="D201" s="96"/>
      <c r="E201" s="102"/>
      <c r="F201" s="102"/>
      <c r="G201" s="102"/>
      <c r="H201" s="102"/>
      <c r="I201" s="102"/>
    </row>
    <row r="202" spans="3:9" ht="12.75">
      <c r="C202" s="96"/>
      <c r="D202" s="96"/>
      <c r="E202" s="102"/>
      <c r="F202" s="102"/>
      <c r="G202" s="102"/>
      <c r="H202" s="102"/>
      <c r="I202" s="102"/>
    </row>
    <row r="203" spans="3:9" ht="12.75">
      <c r="C203" s="96"/>
      <c r="D203" s="96"/>
      <c r="E203" s="102"/>
      <c r="F203" s="102"/>
      <c r="G203" s="102"/>
      <c r="H203" s="102"/>
      <c r="I203" s="102"/>
    </row>
    <row r="204" spans="3:9" ht="12.75">
      <c r="C204" s="96"/>
      <c r="D204" s="96"/>
      <c r="E204" s="102"/>
      <c r="F204" s="102"/>
      <c r="G204" s="102"/>
      <c r="H204" s="102"/>
      <c r="I204" s="102"/>
    </row>
    <row r="205" spans="3:9" ht="12.75">
      <c r="C205" s="96"/>
      <c r="D205" s="96"/>
      <c r="E205" s="102"/>
      <c r="F205" s="102"/>
      <c r="G205" s="102"/>
      <c r="H205" s="102"/>
      <c r="I205" s="102"/>
    </row>
    <row r="206" spans="3:9" ht="12.75">
      <c r="C206" s="96"/>
      <c r="D206" s="96"/>
      <c r="E206" s="102"/>
      <c r="F206" s="102"/>
      <c r="G206" s="102"/>
      <c r="H206" s="102"/>
      <c r="I206" s="102"/>
    </row>
    <row r="207" spans="3:9" ht="12.75">
      <c r="C207" s="96"/>
      <c r="D207" s="96"/>
      <c r="E207" s="102"/>
      <c r="F207" s="102"/>
      <c r="G207" s="102"/>
      <c r="H207" s="102"/>
      <c r="I207" s="102"/>
    </row>
    <row r="208" spans="3:9" ht="12.75">
      <c r="C208" s="96"/>
      <c r="D208" s="96"/>
      <c r="E208" s="102"/>
      <c r="F208" s="102"/>
      <c r="G208" s="102"/>
      <c r="H208" s="102"/>
      <c r="I208" s="102"/>
    </row>
    <row r="209" spans="3:9" ht="12.75">
      <c r="C209" s="96"/>
      <c r="D209" s="96"/>
      <c r="E209" s="102"/>
      <c r="F209" s="102"/>
      <c r="G209" s="102"/>
      <c r="H209" s="102"/>
      <c r="I209" s="102"/>
    </row>
    <row r="210" spans="3:9" ht="12.75">
      <c r="C210" s="96"/>
      <c r="D210" s="96"/>
      <c r="E210" s="102"/>
      <c r="F210" s="102"/>
      <c r="G210" s="102"/>
      <c r="H210" s="102"/>
      <c r="I210" s="102"/>
    </row>
    <row r="211" spans="3:9" ht="12.75">
      <c r="C211" s="96"/>
      <c r="D211" s="96"/>
      <c r="E211" s="102"/>
      <c r="F211" s="102"/>
      <c r="G211" s="102"/>
      <c r="H211" s="102"/>
      <c r="I211" s="102"/>
    </row>
    <row r="212" spans="3:9" ht="12.75">
      <c r="C212" s="96"/>
      <c r="D212" s="96"/>
      <c r="E212" s="102"/>
      <c r="F212" s="102"/>
      <c r="G212" s="102"/>
      <c r="H212" s="102"/>
      <c r="I212" s="102"/>
    </row>
    <row r="213" spans="3:9" ht="12.75">
      <c r="C213" s="96"/>
      <c r="D213" s="96"/>
      <c r="E213" s="102"/>
      <c r="F213" s="102"/>
      <c r="G213" s="102"/>
      <c r="H213" s="102"/>
      <c r="I213" s="102"/>
    </row>
    <row r="214" spans="3:9" ht="12.75">
      <c r="C214" s="96"/>
      <c r="D214" s="96"/>
      <c r="E214" s="102"/>
      <c r="F214" s="102"/>
      <c r="G214" s="102"/>
      <c r="H214" s="102"/>
      <c r="I214" s="102"/>
    </row>
    <row r="215" spans="3:9" ht="12.75">
      <c r="C215" s="96"/>
      <c r="D215" s="96"/>
      <c r="E215" s="102"/>
      <c r="F215" s="102"/>
      <c r="G215" s="102"/>
      <c r="H215" s="102"/>
      <c r="I215" s="102"/>
    </row>
    <row r="216" spans="3:9" ht="12.75">
      <c r="C216" s="96"/>
      <c r="D216" s="96"/>
      <c r="E216" s="102"/>
      <c r="F216" s="102"/>
      <c r="G216" s="102"/>
      <c r="H216" s="102"/>
      <c r="I216" s="102"/>
    </row>
    <row r="217" spans="3:9" ht="12.75">
      <c r="C217" s="96"/>
      <c r="D217" s="96"/>
      <c r="E217" s="102"/>
      <c r="F217" s="102"/>
      <c r="G217" s="102"/>
      <c r="H217" s="102"/>
      <c r="I217" s="102"/>
    </row>
    <row r="218" spans="3:9" ht="12.75">
      <c r="C218" s="96"/>
      <c r="D218" s="96"/>
      <c r="E218" s="102"/>
      <c r="F218" s="102"/>
      <c r="G218" s="102"/>
      <c r="H218" s="102"/>
      <c r="I218" s="102"/>
    </row>
    <row r="219" spans="3:9" ht="12.75">
      <c r="C219" s="96"/>
      <c r="D219" s="96"/>
      <c r="E219" s="102"/>
      <c r="F219" s="102"/>
      <c r="G219" s="102"/>
      <c r="H219" s="102"/>
      <c r="I219" s="102"/>
    </row>
    <row r="220" spans="3:9" ht="12.75">
      <c r="C220" s="96"/>
      <c r="D220" s="96"/>
      <c r="E220" s="102"/>
      <c r="F220" s="102"/>
      <c r="G220" s="102"/>
      <c r="H220" s="102"/>
      <c r="I220" s="102"/>
    </row>
    <row r="221" spans="3:9" ht="12.75">
      <c r="C221" s="96"/>
      <c r="D221" s="96"/>
      <c r="E221" s="102"/>
      <c r="F221" s="102"/>
      <c r="G221" s="102"/>
      <c r="H221" s="102"/>
      <c r="I221" s="102"/>
    </row>
    <row r="222" spans="3:9" ht="12.75">
      <c r="C222" s="96"/>
      <c r="D222" s="96"/>
      <c r="E222" s="102"/>
      <c r="F222" s="102"/>
      <c r="G222" s="102"/>
      <c r="H222" s="102"/>
      <c r="I222" s="102"/>
    </row>
    <row r="223" spans="3:9" ht="12.75">
      <c r="C223" s="96"/>
      <c r="D223" s="96"/>
      <c r="E223" s="102"/>
      <c r="F223" s="102"/>
      <c r="G223" s="102"/>
      <c r="H223" s="102"/>
      <c r="I223" s="102"/>
    </row>
    <row r="224" spans="3:9" ht="12.75">
      <c r="C224" s="96"/>
      <c r="D224" s="96"/>
      <c r="E224" s="102"/>
      <c r="F224" s="102"/>
      <c r="G224" s="102"/>
      <c r="H224" s="102"/>
      <c r="I224" s="102"/>
    </row>
    <row r="225" spans="3:9" ht="12.75">
      <c r="C225" s="96"/>
      <c r="D225" s="96"/>
      <c r="E225" s="102"/>
      <c r="F225" s="102"/>
      <c r="G225" s="102"/>
      <c r="H225" s="102"/>
      <c r="I225" s="102"/>
    </row>
    <row r="226" spans="3:9" ht="12.75">
      <c r="C226" s="96"/>
      <c r="D226" s="96"/>
      <c r="E226" s="102"/>
      <c r="F226" s="102"/>
      <c r="G226" s="102"/>
      <c r="H226" s="102"/>
      <c r="I226" s="102"/>
    </row>
    <row r="227" spans="3:9" ht="12.75">
      <c r="C227" s="96"/>
      <c r="D227" s="96"/>
      <c r="E227" s="102"/>
      <c r="F227" s="102"/>
      <c r="G227" s="102"/>
      <c r="H227" s="102"/>
      <c r="I227" s="102"/>
    </row>
    <row r="228" spans="3:9" ht="12.75">
      <c r="C228" s="96"/>
      <c r="D228" s="96"/>
      <c r="E228" s="102"/>
      <c r="F228" s="102"/>
      <c r="G228" s="102"/>
      <c r="H228" s="102"/>
      <c r="I228" s="102"/>
    </row>
    <row r="229" spans="3:9" ht="12.75">
      <c r="C229" s="96"/>
      <c r="D229" s="96"/>
      <c r="E229" s="102"/>
      <c r="F229" s="102"/>
      <c r="G229" s="102"/>
      <c r="H229" s="102"/>
      <c r="I229" s="102"/>
    </row>
    <row r="230" spans="3:9" ht="12.75">
      <c r="C230" s="96"/>
      <c r="D230" s="96"/>
      <c r="E230" s="102"/>
      <c r="F230" s="102"/>
      <c r="G230" s="102"/>
      <c r="H230" s="102"/>
      <c r="I230" s="102"/>
    </row>
    <row r="231" spans="3:9" ht="12.75">
      <c r="C231" s="96"/>
      <c r="D231" s="96"/>
      <c r="E231" s="102"/>
      <c r="F231" s="102"/>
      <c r="G231" s="102"/>
      <c r="H231" s="102"/>
      <c r="I231" s="102"/>
    </row>
    <row r="232" spans="3:9" ht="12.75">
      <c r="C232" s="96"/>
      <c r="D232" s="96"/>
      <c r="E232" s="102"/>
      <c r="F232" s="102"/>
      <c r="G232" s="102"/>
      <c r="H232" s="102"/>
      <c r="I232" s="102"/>
    </row>
    <row r="233" spans="3:9" ht="12.75">
      <c r="C233" s="96"/>
      <c r="D233" s="96"/>
      <c r="E233" s="102"/>
      <c r="F233" s="102"/>
      <c r="G233" s="102"/>
      <c r="H233" s="102"/>
      <c r="I233" s="102"/>
    </row>
    <row r="234" spans="3:9" ht="12.75">
      <c r="C234" s="96"/>
      <c r="D234" s="96"/>
      <c r="E234" s="102"/>
      <c r="F234" s="102"/>
      <c r="G234" s="102"/>
      <c r="H234" s="102"/>
      <c r="I234" s="102"/>
    </row>
    <row r="235" spans="3:9" ht="12.75">
      <c r="C235" s="96"/>
      <c r="D235" s="96"/>
      <c r="E235" s="102"/>
      <c r="F235" s="102"/>
      <c r="G235" s="102"/>
      <c r="H235" s="102"/>
      <c r="I235" s="102"/>
    </row>
    <row r="236" spans="3:9" ht="12.75">
      <c r="C236" s="96"/>
      <c r="D236" s="96"/>
      <c r="E236" s="102"/>
      <c r="F236" s="102"/>
      <c r="G236" s="102"/>
      <c r="H236" s="102"/>
      <c r="I236" s="102"/>
    </row>
    <row r="237" spans="3:9" ht="12.75">
      <c r="C237" s="96"/>
      <c r="D237" s="96"/>
      <c r="E237" s="102"/>
      <c r="F237" s="102"/>
      <c r="G237" s="102"/>
      <c r="H237" s="102"/>
      <c r="I237" s="102"/>
    </row>
    <row r="238" spans="3:9" ht="12.75">
      <c r="C238" s="96"/>
      <c r="D238" s="96"/>
      <c r="E238" s="102"/>
      <c r="F238" s="102"/>
      <c r="G238" s="102"/>
      <c r="H238" s="102"/>
      <c r="I238" s="102"/>
    </row>
    <row r="239" spans="3:9" ht="12.75">
      <c r="C239" s="96"/>
      <c r="D239" s="96"/>
      <c r="E239" s="102"/>
      <c r="F239" s="102"/>
      <c r="G239" s="102"/>
      <c r="H239" s="102"/>
      <c r="I239" s="102"/>
    </row>
    <row r="240" spans="3:9" ht="12.75">
      <c r="C240" s="96"/>
      <c r="D240" s="96"/>
      <c r="E240" s="102"/>
      <c r="F240" s="102"/>
      <c r="G240" s="102"/>
      <c r="H240" s="102"/>
      <c r="I240" s="102"/>
    </row>
    <row r="241" spans="3:9" ht="12.75">
      <c r="C241" s="96"/>
      <c r="D241" s="96"/>
      <c r="E241" s="102"/>
      <c r="F241" s="102"/>
      <c r="G241" s="102"/>
      <c r="H241" s="102"/>
      <c r="I241" s="102"/>
    </row>
    <row r="242" spans="3:9" ht="12.75">
      <c r="C242" s="96"/>
      <c r="D242" s="96"/>
      <c r="E242" s="102"/>
      <c r="F242" s="102"/>
      <c r="G242" s="102"/>
      <c r="H242" s="102"/>
      <c r="I242" s="102"/>
    </row>
    <row r="243" spans="3:9" ht="12.75">
      <c r="C243" s="96"/>
      <c r="D243" s="96"/>
      <c r="E243" s="102"/>
      <c r="F243" s="102"/>
      <c r="G243" s="102"/>
      <c r="H243" s="102"/>
      <c r="I243" s="102"/>
    </row>
    <row r="244" spans="3:9" ht="12.75">
      <c r="C244" s="96"/>
      <c r="D244" s="96"/>
      <c r="E244" s="102"/>
      <c r="F244" s="102"/>
      <c r="G244" s="102"/>
      <c r="H244" s="102"/>
      <c r="I244" s="102"/>
    </row>
    <row r="245" spans="3:9" ht="12.75">
      <c r="C245" s="96"/>
      <c r="D245" s="96"/>
      <c r="E245" s="102"/>
      <c r="F245" s="102"/>
      <c r="G245" s="102"/>
      <c r="H245" s="102"/>
      <c r="I245" s="102"/>
    </row>
    <row r="246" spans="3:9" ht="12.75">
      <c r="C246" s="96"/>
      <c r="D246" s="96"/>
      <c r="E246" s="102"/>
      <c r="F246" s="102"/>
      <c r="G246" s="102"/>
      <c r="H246" s="102"/>
      <c r="I246" s="102"/>
    </row>
    <row r="247" spans="3:9" ht="12.75">
      <c r="C247" s="96"/>
      <c r="D247" s="96"/>
      <c r="E247" s="102"/>
      <c r="F247" s="102"/>
      <c r="G247" s="102"/>
      <c r="H247" s="102"/>
      <c r="I247" s="102"/>
    </row>
    <row r="248" spans="3:9" ht="12.75">
      <c r="C248" s="96"/>
      <c r="D248" s="96"/>
      <c r="E248" s="102"/>
      <c r="F248" s="102"/>
      <c r="G248" s="102"/>
      <c r="H248" s="102"/>
      <c r="I248" s="102"/>
    </row>
    <row r="249" spans="3:9" ht="12.75">
      <c r="C249" s="96"/>
      <c r="D249" s="96"/>
      <c r="E249" s="102"/>
      <c r="F249" s="102"/>
      <c r="G249" s="102"/>
      <c r="H249" s="102"/>
      <c r="I249" s="102"/>
    </row>
    <row r="250" spans="3:9" ht="12.75">
      <c r="C250" s="96"/>
      <c r="D250" s="96"/>
      <c r="E250" s="102"/>
      <c r="F250" s="102"/>
      <c r="G250" s="102"/>
      <c r="H250" s="102"/>
      <c r="I250" s="102"/>
    </row>
    <row r="251" spans="3:9" ht="12.75">
      <c r="C251" s="96"/>
      <c r="D251" s="96"/>
      <c r="E251" s="102"/>
      <c r="F251" s="102"/>
      <c r="G251" s="102"/>
      <c r="H251" s="102"/>
      <c r="I251" s="102"/>
    </row>
    <row r="252" spans="3:9" ht="12.75">
      <c r="C252" s="96"/>
      <c r="D252" s="96"/>
      <c r="E252" s="102"/>
      <c r="F252" s="102"/>
      <c r="G252" s="102"/>
      <c r="H252" s="102"/>
      <c r="I252" s="102"/>
    </row>
    <row r="253" spans="3:9" ht="12.75">
      <c r="C253" s="96"/>
      <c r="D253" s="96"/>
      <c r="E253" s="102"/>
      <c r="F253" s="102"/>
      <c r="G253" s="102"/>
      <c r="H253" s="102"/>
      <c r="I253" s="102"/>
    </row>
    <row r="254" spans="3:9" ht="12.75">
      <c r="C254" s="96"/>
      <c r="D254" s="96"/>
      <c r="E254" s="102"/>
      <c r="F254" s="102"/>
      <c r="G254" s="102"/>
      <c r="H254" s="102"/>
      <c r="I254" s="102"/>
    </row>
    <row r="255" spans="3:9" ht="12.75">
      <c r="C255" s="96"/>
      <c r="D255" s="96"/>
      <c r="E255" s="102"/>
      <c r="F255" s="102"/>
      <c r="G255" s="102"/>
      <c r="H255" s="102"/>
      <c r="I255" s="102"/>
    </row>
    <row r="256" spans="3:9" ht="12.75">
      <c r="C256" s="96"/>
      <c r="D256" s="96"/>
      <c r="E256" s="102"/>
      <c r="F256" s="102"/>
      <c r="G256" s="102"/>
      <c r="H256" s="102"/>
      <c r="I256" s="102"/>
    </row>
    <row r="257" spans="3:9" ht="12.75">
      <c r="C257" s="96"/>
      <c r="D257" s="96"/>
      <c r="E257" s="102"/>
      <c r="F257" s="102"/>
      <c r="G257" s="102"/>
      <c r="H257" s="102"/>
      <c r="I257" s="102"/>
    </row>
    <row r="258" spans="3:9" ht="12.75">
      <c r="C258" s="96"/>
      <c r="D258" s="96"/>
      <c r="E258" s="102"/>
      <c r="F258" s="102"/>
      <c r="G258" s="102"/>
      <c r="H258" s="102"/>
      <c r="I258" s="102"/>
    </row>
    <row r="259" spans="3:9" ht="12.75">
      <c r="C259" s="96"/>
      <c r="D259" s="96"/>
      <c r="E259" s="102"/>
      <c r="F259" s="102"/>
      <c r="G259" s="102"/>
      <c r="H259" s="102"/>
      <c r="I259" s="102"/>
    </row>
    <row r="260" spans="3:9" ht="12.75">
      <c r="C260" s="96"/>
      <c r="D260" s="96"/>
      <c r="E260" s="102"/>
      <c r="F260" s="102"/>
      <c r="G260" s="102"/>
      <c r="H260" s="102"/>
      <c r="I260" s="102"/>
    </row>
    <row r="261" spans="3:9" ht="12.75">
      <c r="C261" s="96"/>
      <c r="D261" s="96"/>
      <c r="E261" s="102"/>
      <c r="F261" s="102"/>
      <c r="G261" s="102"/>
      <c r="H261" s="102"/>
      <c r="I261" s="102"/>
    </row>
    <row r="262" spans="3:9" ht="12.75">
      <c r="C262" s="96"/>
      <c r="D262" s="96"/>
      <c r="E262" s="102"/>
      <c r="F262" s="102"/>
      <c r="G262" s="102"/>
      <c r="H262" s="102"/>
      <c r="I262" s="102"/>
    </row>
    <row r="263" spans="3:9" ht="12.75">
      <c r="C263" s="96"/>
      <c r="D263" s="96"/>
      <c r="E263" s="102"/>
      <c r="F263" s="102"/>
      <c r="G263" s="102"/>
      <c r="H263" s="102"/>
      <c r="I263" s="102"/>
    </row>
    <row r="264" spans="3:9" ht="12.75">
      <c r="C264" s="96"/>
      <c r="D264" s="96"/>
      <c r="E264" s="102"/>
      <c r="F264" s="102"/>
      <c r="G264" s="102"/>
      <c r="H264" s="102"/>
      <c r="I264" s="102"/>
    </row>
    <row r="265" spans="3:9" ht="12.75">
      <c r="C265" s="96"/>
      <c r="D265" s="96"/>
      <c r="E265" s="102"/>
      <c r="F265" s="102"/>
      <c r="G265" s="102"/>
      <c r="H265" s="102"/>
      <c r="I265" s="102"/>
    </row>
    <row r="266" spans="3:9" ht="12.75">
      <c r="C266" s="96"/>
      <c r="D266" s="96"/>
      <c r="E266" s="102"/>
      <c r="F266" s="102"/>
      <c r="G266" s="102"/>
      <c r="H266" s="102"/>
      <c r="I266" s="102"/>
    </row>
    <row r="267" spans="3:9" ht="12.75">
      <c r="C267" s="96"/>
      <c r="D267" s="96"/>
      <c r="E267" s="102"/>
      <c r="F267" s="102"/>
      <c r="G267" s="102"/>
      <c r="H267" s="102"/>
      <c r="I267" s="102"/>
    </row>
    <row r="268" spans="3:9" ht="12.75">
      <c r="C268" s="96"/>
      <c r="D268" s="96"/>
      <c r="E268" s="102"/>
      <c r="F268" s="102"/>
      <c r="G268" s="102"/>
      <c r="H268" s="102"/>
      <c r="I268" s="102"/>
    </row>
    <row r="269" spans="3:9" ht="12.75">
      <c r="C269" s="96"/>
      <c r="D269" s="96"/>
      <c r="E269" s="102"/>
      <c r="F269" s="102"/>
      <c r="G269" s="102"/>
      <c r="H269" s="102"/>
      <c r="I269" s="102"/>
    </row>
    <row r="270" spans="3:9" ht="12.75">
      <c r="C270" s="96"/>
      <c r="D270" s="96"/>
      <c r="E270" s="102"/>
      <c r="F270" s="102"/>
      <c r="G270" s="102"/>
      <c r="H270" s="102"/>
      <c r="I270" s="102"/>
    </row>
    <row r="271" spans="3:9" ht="12.75">
      <c r="C271" s="96"/>
      <c r="D271" s="96"/>
      <c r="E271" s="102"/>
      <c r="F271" s="102"/>
      <c r="G271" s="102"/>
      <c r="H271" s="102"/>
      <c r="I271" s="102"/>
    </row>
    <row r="272" spans="3:9" ht="12.75">
      <c r="C272" s="96"/>
      <c r="D272" s="96"/>
      <c r="E272" s="102"/>
      <c r="F272" s="102"/>
      <c r="G272" s="102"/>
      <c r="H272" s="102"/>
      <c r="I272" s="102"/>
    </row>
    <row r="273" spans="3:9" ht="12.75">
      <c r="C273" s="96"/>
      <c r="D273" s="96"/>
      <c r="E273" s="102"/>
      <c r="F273" s="102"/>
      <c r="G273" s="102"/>
      <c r="H273" s="102"/>
      <c r="I273" s="102"/>
    </row>
    <row r="274" spans="3:9" ht="12.75">
      <c r="C274" s="96"/>
      <c r="D274" s="96"/>
      <c r="E274" s="102"/>
      <c r="F274" s="102"/>
      <c r="G274" s="102"/>
      <c r="H274" s="102"/>
      <c r="I274" s="102"/>
    </row>
    <row r="275" spans="3:9" ht="12.75">
      <c r="C275" s="96"/>
      <c r="D275" s="96"/>
      <c r="E275" s="102"/>
      <c r="F275" s="102"/>
      <c r="G275" s="102"/>
      <c r="H275" s="102"/>
      <c r="I275" s="102"/>
    </row>
    <row r="276" spans="3:9" ht="12.75">
      <c r="C276" s="96"/>
      <c r="D276" s="96"/>
      <c r="E276" s="102"/>
      <c r="F276" s="102"/>
      <c r="G276" s="102"/>
      <c r="H276" s="102"/>
      <c r="I276" s="102"/>
    </row>
    <row r="277" spans="3:9" ht="12.75">
      <c r="C277" s="96"/>
      <c r="D277" s="96"/>
      <c r="E277" s="102"/>
      <c r="F277" s="102"/>
      <c r="G277" s="102"/>
      <c r="H277" s="102"/>
      <c r="I277" s="102"/>
    </row>
    <row r="278" spans="3:9" ht="12.75">
      <c r="C278" s="96"/>
      <c r="D278" s="96"/>
      <c r="E278" s="102"/>
      <c r="F278" s="102"/>
      <c r="G278" s="102"/>
      <c r="H278" s="102"/>
      <c r="I278" s="102"/>
    </row>
    <row r="279" spans="3:9" ht="12.75">
      <c r="C279" s="96"/>
      <c r="D279" s="96"/>
      <c r="E279" s="102"/>
      <c r="F279" s="102"/>
      <c r="G279" s="102"/>
      <c r="H279" s="102"/>
      <c r="I279" s="102"/>
    </row>
    <row r="280" spans="3:9" ht="12.75">
      <c r="C280" s="96"/>
      <c r="D280" s="96"/>
      <c r="E280" s="102"/>
      <c r="F280" s="102"/>
      <c r="G280" s="102"/>
      <c r="H280" s="102"/>
      <c r="I280" s="102"/>
    </row>
    <row r="281" spans="3:9" ht="12.75">
      <c r="C281" s="96"/>
      <c r="D281" s="96"/>
      <c r="E281" s="102"/>
      <c r="F281" s="102"/>
      <c r="G281" s="102"/>
      <c r="H281" s="102"/>
      <c r="I281" s="102"/>
    </row>
    <row r="282" spans="3:9" ht="12.75">
      <c r="C282" s="96"/>
      <c r="D282" s="96"/>
      <c r="E282" s="102"/>
      <c r="F282" s="102"/>
      <c r="G282" s="102"/>
      <c r="H282" s="102"/>
      <c r="I282" s="102"/>
    </row>
    <row r="283" spans="3:9" ht="12.75">
      <c r="C283" s="96"/>
      <c r="D283" s="96"/>
      <c r="E283" s="102"/>
      <c r="F283" s="102"/>
      <c r="G283" s="102"/>
      <c r="H283" s="102"/>
      <c r="I283" s="102"/>
    </row>
    <row r="284" spans="3:9" ht="12.75">
      <c r="C284" s="96"/>
      <c r="D284" s="96"/>
      <c r="E284" s="102"/>
      <c r="F284" s="102"/>
      <c r="G284" s="102"/>
      <c r="H284" s="102"/>
      <c r="I284" s="102"/>
    </row>
    <row r="285" spans="3:9" ht="12.75">
      <c r="C285" s="96"/>
      <c r="D285" s="96"/>
      <c r="E285" s="102"/>
      <c r="F285" s="102"/>
      <c r="G285" s="102"/>
      <c r="H285" s="102"/>
      <c r="I285" s="102"/>
    </row>
    <row r="286" spans="3:9" ht="12.75">
      <c r="C286" s="96"/>
      <c r="D286" s="96"/>
      <c r="E286" s="102"/>
      <c r="F286" s="102"/>
      <c r="G286" s="102"/>
      <c r="H286" s="102"/>
      <c r="I286" s="102"/>
    </row>
    <row r="287" spans="3:9" ht="12.75">
      <c r="C287" s="96"/>
      <c r="D287" s="96"/>
      <c r="E287" s="102"/>
      <c r="F287" s="102"/>
      <c r="G287" s="102"/>
      <c r="H287" s="102"/>
      <c r="I287" s="102"/>
    </row>
    <row r="288" spans="3:9" ht="12.75">
      <c r="C288" s="96"/>
      <c r="D288" s="96"/>
      <c r="E288" s="102"/>
      <c r="F288" s="102"/>
      <c r="G288" s="102"/>
      <c r="H288" s="102"/>
      <c r="I288" s="102"/>
    </row>
    <row r="289" spans="3:9" ht="12.75">
      <c r="C289" s="96"/>
      <c r="D289" s="96"/>
      <c r="E289" s="102"/>
      <c r="F289" s="102"/>
      <c r="G289" s="102"/>
      <c r="H289" s="102"/>
      <c r="I289" s="102"/>
    </row>
    <row r="290" spans="3:9" ht="12.75">
      <c r="C290" s="96"/>
      <c r="D290" s="96"/>
      <c r="E290" s="102"/>
      <c r="F290" s="102"/>
      <c r="G290" s="102"/>
      <c r="H290" s="102"/>
      <c r="I290" s="102"/>
    </row>
    <row r="291" spans="3:9" ht="12.75">
      <c r="C291" s="96"/>
      <c r="D291" s="96"/>
      <c r="E291" s="102"/>
      <c r="F291" s="102"/>
      <c r="G291" s="102"/>
      <c r="H291" s="102"/>
      <c r="I291" s="102"/>
    </row>
    <row r="292" spans="3:9" ht="12.75">
      <c r="C292" s="96"/>
      <c r="D292" s="96"/>
      <c r="E292" s="102"/>
      <c r="F292" s="102"/>
      <c r="G292" s="102"/>
      <c r="H292" s="102"/>
      <c r="I292" s="102"/>
    </row>
    <row r="293" spans="3:9" ht="12.75">
      <c r="C293" s="96"/>
      <c r="D293" s="96"/>
      <c r="E293" s="102"/>
      <c r="F293" s="102"/>
      <c r="G293" s="102"/>
      <c r="H293" s="102"/>
      <c r="I293" s="102"/>
    </row>
    <row r="294" spans="3:9" ht="12.75">
      <c r="C294" s="96"/>
      <c r="D294" s="96"/>
      <c r="E294" s="102"/>
      <c r="F294" s="102"/>
      <c r="G294" s="102"/>
      <c r="H294" s="102"/>
      <c r="I294" s="102"/>
    </row>
    <row r="295" spans="3:9" ht="12.75">
      <c r="C295" s="96"/>
      <c r="D295" s="96"/>
      <c r="E295" s="102"/>
      <c r="F295" s="102"/>
      <c r="G295" s="102"/>
      <c r="H295" s="102"/>
      <c r="I295" s="102"/>
    </row>
    <row r="296" spans="3:9" ht="12.75">
      <c r="C296" s="96"/>
      <c r="D296" s="96"/>
      <c r="E296" s="102"/>
      <c r="F296" s="102"/>
      <c r="G296" s="102"/>
      <c r="H296" s="102"/>
      <c r="I296" s="102"/>
    </row>
    <row r="297" spans="3:9" ht="12.75">
      <c r="C297" s="96"/>
      <c r="D297" s="96"/>
      <c r="E297" s="102"/>
      <c r="F297" s="102"/>
      <c r="G297" s="102"/>
      <c r="H297" s="102"/>
      <c r="I297" s="102"/>
    </row>
    <row r="298" spans="3:9" ht="12.75">
      <c r="C298" s="96"/>
      <c r="D298" s="96"/>
      <c r="E298" s="102"/>
      <c r="F298" s="102"/>
      <c r="G298" s="102"/>
      <c r="H298" s="102"/>
      <c r="I298" s="102"/>
    </row>
    <row r="299" spans="3:9" ht="12.75">
      <c r="C299" s="96"/>
      <c r="D299" s="96"/>
      <c r="E299" s="102"/>
      <c r="F299" s="102"/>
      <c r="G299" s="102"/>
      <c r="H299" s="102"/>
      <c r="I299" s="102"/>
    </row>
    <row r="300" spans="3:9" ht="12.75">
      <c r="C300" s="96"/>
      <c r="D300" s="96"/>
      <c r="E300" s="102"/>
      <c r="F300" s="102"/>
      <c r="G300" s="102"/>
      <c r="H300" s="102"/>
      <c r="I300" s="102"/>
    </row>
    <row r="301" spans="3:9" ht="12.75">
      <c r="C301" s="96"/>
      <c r="D301" s="96"/>
      <c r="E301" s="102"/>
      <c r="F301" s="102"/>
      <c r="G301" s="102"/>
      <c r="H301" s="102"/>
      <c r="I301" s="102"/>
    </row>
    <row r="302" spans="3:9" ht="12.75">
      <c r="C302" s="96"/>
      <c r="D302" s="96"/>
      <c r="E302" s="102"/>
      <c r="F302" s="102"/>
      <c r="G302" s="102"/>
      <c r="H302" s="102"/>
      <c r="I302" s="102"/>
    </row>
    <row r="303" spans="3:9" ht="12.75">
      <c r="C303" s="96"/>
      <c r="D303" s="96"/>
      <c r="E303" s="102"/>
      <c r="F303" s="102"/>
      <c r="G303" s="102"/>
      <c r="H303" s="102"/>
      <c r="I303" s="102"/>
    </row>
    <row r="304" spans="3:9" ht="12.75">
      <c r="C304" s="96"/>
      <c r="D304" s="96"/>
      <c r="E304" s="102"/>
      <c r="F304" s="102"/>
      <c r="G304" s="102"/>
      <c r="H304" s="102"/>
      <c r="I304" s="102"/>
    </row>
    <row r="305" spans="3:9" ht="12.75">
      <c r="C305" s="96"/>
      <c r="D305" s="96"/>
      <c r="E305" s="102"/>
      <c r="F305" s="102"/>
      <c r="G305" s="102"/>
      <c r="H305" s="102"/>
      <c r="I305" s="102"/>
    </row>
    <row r="306" spans="3:9" ht="12.75">
      <c r="C306" s="96"/>
      <c r="D306" s="96"/>
      <c r="E306" s="102"/>
      <c r="F306" s="102"/>
      <c r="G306" s="102"/>
      <c r="H306" s="102"/>
      <c r="I306" s="102"/>
    </row>
    <row r="307" spans="3:9" ht="12.75">
      <c r="C307" s="96"/>
      <c r="D307" s="96"/>
      <c r="E307" s="102"/>
      <c r="F307" s="102"/>
      <c r="G307" s="102"/>
      <c r="H307" s="102"/>
      <c r="I307" s="102"/>
    </row>
    <row r="308" spans="3:9" ht="12.75">
      <c r="C308" s="96"/>
      <c r="D308" s="96"/>
      <c r="E308" s="102"/>
      <c r="F308" s="102"/>
      <c r="G308" s="102"/>
      <c r="H308" s="102"/>
      <c r="I308" s="102"/>
    </row>
    <row r="309" spans="3:9" ht="12.75">
      <c r="C309" s="96"/>
      <c r="D309" s="96"/>
      <c r="E309" s="102"/>
      <c r="F309" s="102"/>
      <c r="G309" s="102"/>
      <c r="H309" s="102"/>
      <c r="I309" s="102"/>
    </row>
    <row r="310" spans="3:9" ht="12.75">
      <c r="C310" s="96"/>
      <c r="D310" s="96"/>
      <c r="E310" s="102"/>
      <c r="F310" s="102"/>
      <c r="G310" s="102"/>
      <c r="H310" s="102"/>
      <c r="I310" s="102"/>
    </row>
    <row r="311" spans="3:9" ht="12.75">
      <c r="C311" s="96"/>
      <c r="D311" s="96"/>
      <c r="E311" s="102"/>
      <c r="F311" s="102"/>
      <c r="G311" s="102"/>
      <c r="H311" s="102"/>
      <c r="I311" s="102"/>
    </row>
    <row r="312" spans="3:9" ht="12.75">
      <c r="C312" s="96"/>
      <c r="D312" s="96"/>
      <c r="E312" s="102"/>
      <c r="F312" s="102"/>
      <c r="G312" s="102"/>
      <c r="H312" s="102"/>
      <c r="I312" s="102"/>
    </row>
    <row r="313" spans="3:9" ht="12.75">
      <c r="C313" s="96"/>
      <c r="D313" s="96"/>
      <c r="E313" s="102"/>
      <c r="F313" s="102"/>
      <c r="G313" s="102"/>
      <c r="H313" s="102"/>
      <c r="I313" s="102"/>
    </row>
    <row r="314" spans="3:9" ht="12.75">
      <c r="C314" s="96"/>
      <c r="D314" s="96"/>
      <c r="E314" s="102"/>
      <c r="F314" s="102"/>
      <c r="G314" s="102"/>
      <c r="H314" s="102"/>
      <c r="I314" s="102"/>
    </row>
    <row r="315" spans="3:9" ht="12.75">
      <c r="C315" s="96"/>
      <c r="D315" s="96"/>
      <c r="E315" s="102"/>
      <c r="F315" s="102"/>
      <c r="G315" s="102"/>
      <c r="H315" s="102"/>
      <c r="I315" s="102"/>
    </row>
    <row r="316" spans="3:9" ht="12.75">
      <c r="C316" s="96"/>
      <c r="D316" s="96"/>
      <c r="E316" s="102"/>
      <c r="F316" s="102"/>
      <c r="G316" s="102"/>
      <c r="H316" s="102"/>
      <c r="I316" s="102"/>
    </row>
    <row r="317" spans="3:9" ht="12.75">
      <c r="C317" s="96"/>
      <c r="D317" s="96"/>
      <c r="E317" s="102"/>
      <c r="F317" s="102"/>
      <c r="G317" s="102"/>
      <c r="H317" s="102"/>
      <c r="I317" s="102"/>
    </row>
    <row r="318" spans="3:9" ht="12.75">
      <c r="C318" s="96"/>
      <c r="D318" s="96"/>
      <c r="E318" s="102"/>
      <c r="F318" s="102"/>
      <c r="G318" s="102"/>
      <c r="H318" s="102"/>
      <c r="I318" s="102"/>
    </row>
    <row r="319" spans="3:9" ht="12.75">
      <c r="C319" s="96"/>
      <c r="D319" s="96"/>
      <c r="E319" s="102"/>
      <c r="F319" s="102"/>
      <c r="G319" s="102"/>
      <c r="H319" s="102"/>
      <c r="I319" s="102"/>
    </row>
    <row r="320" spans="3:9" ht="12.75">
      <c r="C320" s="96"/>
      <c r="D320" s="96"/>
      <c r="E320" s="102"/>
      <c r="F320" s="102"/>
      <c r="G320" s="102"/>
      <c r="H320" s="102"/>
      <c r="I320" s="102"/>
    </row>
    <row r="321" spans="3:9" ht="12.75">
      <c r="C321" s="96"/>
      <c r="D321" s="96"/>
      <c r="E321" s="102"/>
      <c r="F321" s="102"/>
      <c r="G321" s="102"/>
      <c r="H321" s="102"/>
      <c r="I321" s="102"/>
    </row>
    <row r="322" spans="3:9" ht="12.75">
      <c r="C322" s="96"/>
      <c r="D322" s="96"/>
      <c r="E322" s="102"/>
      <c r="F322" s="102"/>
      <c r="G322" s="102"/>
      <c r="H322" s="102"/>
      <c r="I322" s="102"/>
    </row>
    <row r="323" spans="3:9" ht="12.75">
      <c r="C323" s="96"/>
      <c r="D323" s="96"/>
      <c r="E323" s="102"/>
      <c r="F323" s="102"/>
      <c r="G323" s="102"/>
      <c r="H323" s="102"/>
      <c r="I323" s="102"/>
    </row>
    <row r="324" spans="3:9" ht="12.75">
      <c r="C324" s="96"/>
      <c r="D324" s="96"/>
      <c r="E324" s="102"/>
      <c r="F324" s="102"/>
      <c r="G324" s="102"/>
      <c r="H324" s="102"/>
      <c r="I324" s="102"/>
    </row>
    <row r="325" spans="3:9" ht="12.75">
      <c r="C325" s="96"/>
      <c r="D325" s="96"/>
      <c r="E325" s="102"/>
      <c r="F325" s="102"/>
      <c r="G325" s="102"/>
      <c r="H325" s="102"/>
      <c r="I325" s="102"/>
    </row>
    <row r="326" spans="3:9" ht="12.75">
      <c r="C326" s="96"/>
      <c r="D326" s="96"/>
      <c r="E326" s="102"/>
      <c r="F326" s="102"/>
      <c r="G326" s="102"/>
      <c r="H326" s="102"/>
      <c r="I326" s="102"/>
    </row>
    <row r="327" spans="3:9" ht="12.75">
      <c r="C327" s="96"/>
      <c r="D327" s="96"/>
      <c r="E327" s="102"/>
      <c r="F327" s="102"/>
      <c r="G327" s="102"/>
      <c r="H327" s="102"/>
      <c r="I327" s="102"/>
    </row>
    <row r="328" spans="3:9" ht="12.75">
      <c r="C328" s="96"/>
      <c r="D328" s="96"/>
      <c r="E328" s="102"/>
      <c r="F328" s="102"/>
      <c r="G328" s="102"/>
      <c r="H328" s="102"/>
      <c r="I328" s="102"/>
    </row>
    <row r="329" spans="3:9" ht="12.75">
      <c r="C329" s="96"/>
      <c r="D329" s="96"/>
      <c r="E329" s="102"/>
      <c r="F329" s="102"/>
      <c r="G329" s="102"/>
      <c r="H329" s="102"/>
      <c r="I329" s="102"/>
    </row>
    <row r="330" spans="3:9" ht="12.75">
      <c r="C330" s="96"/>
      <c r="D330" s="96"/>
      <c r="E330" s="102"/>
      <c r="F330" s="102"/>
      <c r="G330" s="102"/>
      <c r="H330" s="102"/>
      <c r="I330" s="102"/>
    </row>
    <row r="331" spans="3:9" ht="12.75">
      <c r="C331" s="96"/>
      <c r="D331" s="96"/>
      <c r="E331" s="102"/>
      <c r="F331" s="102"/>
      <c r="G331" s="102"/>
      <c r="H331" s="102"/>
      <c r="I331" s="102"/>
    </row>
    <row r="332" spans="3:9" ht="12.75">
      <c r="C332" s="96"/>
      <c r="D332" s="96"/>
      <c r="E332" s="102"/>
      <c r="F332" s="102"/>
      <c r="G332" s="102"/>
      <c r="H332" s="102"/>
      <c r="I332" s="102"/>
    </row>
    <row r="333" spans="3:9" ht="12.75">
      <c r="C333" s="96"/>
      <c r="D333" s="96"/>
      <c r="E333" s="102"/>
      <c r="F333" s="102"/>
      <c r="G333" s="102"/>
      <c r="H333" s="102"/>
      <c r="I333" s="102"/>
    </row>
    <row r="334" spans="3:9" ht="12.75">
      <c r="C334" s="96"/>
      <c r="D334" s="96"/>
      <c r="E334" s="102"/>
      <c r="F334" s="102"/>
      <c r="G334" s="102"/>
      <c r="H334" s="102"/>
      <c r="I334" s="102"/>
    </row>
    <row r="335" spans="3:9" ht="12.75">
      <c r="C335" s="96"/>
      <c r="D335" s="96"/>
      <c r="E335" s="102"/>
      <c r="F335" s="102"/>
      <c r="G335" s="102"/>
      <c r="H335" s="102"/>
      <c r="I335" s="102"/>
    </row>
    <row r="336" spans="3:9" ht="12.75">
      <c r="C336" s="96"/>
      <c r="D336" s="96"/>
      <c r="E336" s="102"/>
      <c r="F336" s="102"/>
      <c r="G336" s="102"/>
      <c r="H336" s="102"/>
      <c r="I336" s="102"/>
    </row>
    <row r="337" spans="3:9" ht="12.75">
      <c r="C337" s="96"/>
      <c r="D337" s="96"/>
      <c r="E337" s="102"/>
      <c r="F337" s="102"/>
      <c r="G337" s="102"/>
      <c r="H337" s="102"/>
      <c r="I337" s="102"/>
    </row>
    <row r="338" spans="3:9" ht="12.75">
      <c r="C338" s="96"/>
      <c r="D338" s="96"/>
      <c r="E338" s="102"/>
      <c r="F338" s="102"/>
      <c r="G338" s="102"/>
      <c r="H338" s="102"/>
      <c r="I338" s="102"/>
    </row>
    <row r="339" spans="3:9" ht="12.75">
      <c r="C339" s="96"/>
      <c r="D339" s="96"/>
      <c r="E339" s="102"/>
      <c r="F339" s="102"/>
      <c r="G339" s="102"/>
      <c r="H339" s="102"/>
      <c r="I339" s="102"/>
    </row>
    <row r="340" spans="3:9" ht="12.75">
      <c r="C340" s="96"/>
      <c r="D340" s="96"/>
      <c r="E340" s="102"/>
      <c r="F340" s="102"/>
      <c r="G340" s="102"/>
      <c r="H340" s="102"/>
      <c r="I340" s="102"/>
    </row>
    <row r="341" spans="3:9" ht="12.75">
      <c r="C341" s="96"/>
      <c r="D341" s="96"/>
      <c r="E341" s="102"/>
      <c r="F341" s="102"/>
      <c r="G341" s="102"/>
      <c r="H341" s="102"/>
      <c r="I341" s="102"/>
    </row>
    <row r="342" spans="3:9" ht="12.75">
      <c r="C342" s="96"/>
      <c r="D342" s="96"/>
      <c r="E342" s="102"/>
      <c r="F342" s="102"/>
      <c r="G342" s="102"/>
      <c r="H342" s="102"/>
      <c r="I342" s="102"/>
    </row>
    <row r="343" spans="3:9" ht="12.75">
      <c r="C343" s="96"/>
      <c r="D343" s="96"/>
      <c r="E343" s="102"/>
      <c r="F343" s="102"/>
      <c r="G343" s="102"/>
      <c r="H343" s="102"/>
      <c r="I343" s="102"/>
    </row>
    <row r="344" spans="3:9" ht="12.75">
      <c r="C344" s="96"/>
      <c r="D344" s="96"/>
      <c r="E344" s="102"/>
      <c r="F344" s="102"/>
      <c r="G344" s="102"/>
      <c r="H344" s="102"/>
      <c r="I344" s="102"/>
    </row>
    <row r="345" spans="3:9" ht="12.75">
      <c r="C345" s="96"/>
      <c r="D345" s="96"/>
      <c r="E345" s="102"/>
      <c r="F345" s="102"/>
      <c r="G345" s="102"/>
      <c r="H345" s="102"/>
      <c r="I345" s="102"/>
    </row>
    <row r="346" spans="3:9" ht="12.75">
      <c r="C346" s="96"/>
      <c r="D346" s="96"/>
      <c r="E346" s="102"/>
      <c r="F346" s="102"/>
      <c r="G346" s="102"/>
      <c r="H346" s="102"/>
      <c r="I346" s="102"/>
    </row>
    <row r="347" spans="3:9" ht="12.75">
      <c r="C347" s="96"/>
      <c r="D347" s="96"/>
      <c r="E347" s="102"/>
      <c r="F347" s="102"/>
      <c r="G347" s="102"/>
      <c r="H347" s="102"/>
      <c r="I347" s="102"/>
    </row>
    <row r="348" spans="3:9" ht="12.75">
      <c r="C348" s="96"/>
      <c r="D348" s="96"/>
      <c r="E348" s="102"/>
      <c r="F348" s="102"/>
      <c r="G348" s="102"/>
      <c r="H348" s="102"/>
      <c r="I348" s="102"/>
    </row>
    <row r="349" spans="3:9" ht="12.75">
      <c r="C349" s="96"/>
      <c r="D349" s="96"/>
      <c r="E349" s="102"/>
      <c r="F349" s="102"/>
      <c r="G349" s="102"/>
      <c r="H349" s="102"/>
      <c r="I349" s="102"/>
    </row>
    <row r="350" spans="3:9" ht="12.75">
      <c r="C350" s="96"/>
      <c r="D350" s="96"/>
      <c r="E350" s="102"/>
      <c r="F350" s="102"/>
      <c r="G350" s="102"/>
      <c r="H350" s="102"/>
      <c r="I350" s="102"/>
    </row>
    <row r="351" spans="3:9" ht="12.75">
      <c r="C351" s="96"/>
      <c r="D351" s="96"/>
      <c r="E351" s="102"/>
      <c r="F351" s="102"/>
      <c r="G351" s="102"/>
      <c r="H351" s="102"/>
      <c r="I351" s="102"/>
    </row>
    <row r="352" spans="3:9" ht="12.75">
      <c r="C352" s="96"/>
      <c r="D352" s="96"/>
      <c r="E352" s="102"/>
      <c r="F352" s="102"/>
      <c r="G352" s="102"/>
      <c r="H352" s="102"/>
      <c r="I352" s="102"/>
    </row>
    <row r="353" spans="3:9" ht="12.75">
      <c r="C353" s="96"/>
      <c r="D353" s="96"/>
      <c r="E353" s="102"/>
      <c r="F353" s="102"/>
      <c r="G353" s="102"/>
      <c r="H353" s="102"/>
      <c r="I353" s="102"/>
    </row>
    <row r="354" spans="3:9" ht="12.75">
      <c r="C354" s="96"/>
      <c r="D354" s="96"/>
      <c r="E354" s="102"/>
      <c r="F354" s="102"/>
      <c r="G354" s="102"/>
      <c r="H354" s="102"/>
      <c r="I354" s="102"/>
    </row>
    <row r="355" spans="3:9" ht="12.75">
      <c r="C355" s="96"/>
      <c r="D355" s="96"/>
      <c r="E355" s="102"/>
      <c r="F355" s="102"/>
      <c r="G355" s="102"/>
      <c r="H355" s="102"/>
      <c r="I355" s="102"/>
    </row>
    <row r="356" spans="3:9" ht="12.75">
      <c r="C356" s="96"/>
      <c r="D356" s="96"/>
      <c r="E356" s="102"/>
      <c r="F356" s="102"/>
      <c r="G356" s="102"/>
      <c r="H356" s="102"/>
      <c r="I356" s="102"/>
    </row>
    <row r="357" spans="3:9" ht="12.75">
      <c r="C357" s="96"/>
      <c r="D357" s="96"/>
      <c r="E357" s="102"/>
      <c r="F357" s="102"/>
      <c r="G357" s="102"/>
      <c r="H357" s="102"/>
      <c r="I357" s="102"/>
    </row>
    <row r="358" spans="3:9" ht="12.75">
      <c r="C358" s="96"/>
      <c r="D358" s="96"/>
      <c r="E358" s="102"/>
      <c r="F358" s="102"/>
      <c r="G358" s="102"/>
      <c r="H358" s="102"/>
      <c r="I358" s="102"/>
    </row>
    <row r="359" spans="3:9" ht="12.75">
      <c r="C359" s="96"/>
      <c r="D359" s="96"/>
      <c r="E359" s="102"/>
      <c r="F359" s="102"/>
      <c r="G359" s="102"/>
      <c r="H359" s="102"/>
      <c r="I359" s="102"/>
    </row>
    <row r="360" spans="3:9" ht="12.75">
      <c r="C360" s="96"/>
      <c r="D360" s="96"/>
      <c r="E360" s="102"/>
      <c r="F360" s="102"/>
      <c r="G360" s="102"/>
      <c r="H360" s="102"/>
      <c r="I360" s="102"/>
    </row>
    <row r="361" spans="3:9" ht="12.75">
      <c r="C361" s="96"/>
      <c r="D361" s="96"/>
      <c r="E361" s="102"/>
      <c r="F361" s="102"/>
      <c r="G361" s="102"/>
      <c r="H361" s="102"/>
      <c r="I361" s="102"/>
    </row>
    <row r="362" spans="3:9" ht="12.75">
      <c r="C362" s="96"/>
      <c r="D362" s="96"/>
      <c r="E362" s="102"/>
      <c r="F362" s="102"/>
      <c r="G362" s="102"/>
      <c r="H362" s="102"/>
      <c r="I362" s="102"/>
    </row>
    <row r="363" spans="3:9" ht="12.75">
      <c r="C363" s="96"/>
      <c r="D363" s="96"/>
      <c r="E363" s="102"/>
      <c r="F363" s="102"/>
      <c r="G363" s="102"/>
      <c r="H363" s="102"/>
      <c r="I363" s="102"/>
    </row>
    <row r="364" spans="3:9" ht="12.75">
      <c r="C364" s="96"/>
      <c r="D364" s="96"/>
      <c r="E364" s="102"/>
      <c r="F364" s="102"/>
      <c r="G364" s="102"/>
      <c r="H364" s="102"/>
      <c r="I364" s="102"/>
    </row>
    <row r="365" spans="3:9" ht="12.75">
      <c r="C365" s="96"/>
      <c r="D365" s="96"/>
      <c r="E365" s="102"/>
      <c r="F365" s="102"/>
      <c r="G365" s="102"/>
      <c r="H365" s="102"/>
      <c r="I365" s="102"/>
    </row>
    <row r="366" spans="3:9" ht="12.75">
      <c r="C366" s="96"/>
      <c r="D366" s="96"/>
      <c r="E366" s="102"/>
      <c r="F366" s="102"/>
      <c r="G366" s="102"/>
      <c r="H366" s="102"/>
      <c r="I366" s="102"/>
    </row>
    <row r="367" spans="3:9" ht="12.75">
      <c r="C367" s="96"/>
      <c r="D367" s="96"/>
      <c r="E367" s="102"/>
      <c r="F367" s="102"/>
      <c r="G367" s="102"/>
      <c r="H367" s="102"/>
      <c r="I367" s="102"/>
    </row>
    <row r="368" spans="3:9" ht="12.75">
      <c r="C368" s="96"/>
      <c r="D368" s="96"/>
      <c r="E368" s="102"/>
      <c r="F368" s="102"/>
      <c r="G368" s="102"/>
      <c r="H368" s="102"/>
      <c r="I368" s="102"/>
    </row>
    <row r="369" spans="3:9" ht="12.75">
      <c r="C369" s="96"/>
      <c r="D369" s="96"/>
      <c r="E369" s="102"/>
      <c r="F369" s="102"/>
      <c r="G369" s="102"/>
      <c r="H369" s="102"/>
      <c r="I369" s="102"/>
    </row>
    <row r="370" spans="3:9" ht="12.75">
      <c r="C370" s="96"/>
      <c r="D370" s="96"/>
      <c r="E370" s="102"/>
      <c r="F370" s="102"/>
      <c r="G370" s="102"/>
      <c r="H370" s="102"/>
      <c r="I370" s="102"/>
    </row>
  </sheetData>
  <sheetProtection/>
  <printOptions horizontalCentered="1"/>
  <pageMargins left="0.38" right="0.32" top="1" bottom="1" header="0.5" footer="0.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75" workbookViewId="0" topLeftCell="A1">
      <selection activeCell="C52" sqref="C52"/>
    </sheetView>
  </sheetViews>
  <sheetFormatPr defaultColWidth="9.33203125" defaultRowHeight="12.75"/>
  <cols>
    <col min="1" max="1" width="2" style="84" customWidth="1"/>
    <col min="2" max="2" width="62" style="84" customWidth="1"/>
    <col min="3" max="3" width="16.5" style="84" customWidth="1"/>
    <col min="4" max="4" width="2" style="84" customWidth="1"/>
    <col min="5" max="5" width="15.33203125" style="84" customWidth="1"/>
    <col min="6" max="6" width="0" style="84" hidden="1" customWidth="1"/>
    <col min="7" max="7" width="13.33203125" style="84" hidden="1" customWidth="1"/>
    <col min="8" max="8" width="13" style="71" hidden="1" customWidth="1"/>
    <col min="9" max="9" width="13.33203125" style="84" hidden="1" customWidth="1"/>
    <col min="10" max="10" width="10.5" style="84" hidden="1" customWidth="1"/>
    <col min="11" max="11" width="0" style="0" hidden="1" customWidth="1"/>
    <col min="12" max="16384" width="9.33203125" style="84" customWidth="1"/>
  </cols>
  <sheetData>
    <row r="1" spans="1:8" ht="12.75">
      <c r="A1" s="79" t="s">
        <v>374</v>
      </c>
      <c r="H1" s="70"/>
    </row>
    <row r="2" spans="1:8" s="86" customFormat="1" ht="13.5">
      <c r="A2" s="85" t="s">
        <v>281</v>
      </c>
      <c r="G2" s="84"/>
      <c r="H2" s="70"/>
    </row>
    <row r="3" spans="1:8" ht="12.75">
      <c r="A3" s="79"/>
      <c r="H3" s="70"/>
    </row>
    <row r="4" spans="1:8" ht="12.75">
      <c r="A4" s="79" t="s">
        <v>470</v>
      </c>
      <c r="H4" s="70"/>
    </row>
    <row r="6" spans="3:10" ht="12.75">
      <c r="C6" s="88" t="s">
        <v>362</v>
      </c>
      <c r="E6" s="88" t="s">
        <v>97</v>
      </c>
      <c r="G6" s="201" t="s">
        <v>362</v>
      </c>
      <c r="H6" s="201" t="s">
        <v>362</v>
      </c>
      <c r="I6" s="88" t="s">
        <v>362</v>
      </c>
      <c r="J6" s="84" t="s">
        <v>362</v>
      </c>
    </row>
    <row r="7" spans="3:10" ht="12.75">
      <c r="C7" s="88" t="s">
        <v>363</v>
      </c>
      <c r="E7" s="88" t="s">
        <v>98</v>
      </c>
      <c r="G7" s="201" t="s">
        <v>363</v>
      </c>
      <c r="H7" s="201" t="s">
        <v>363</v>
      </c>
      <c r="I7" s="88" t="s">
        <v>363</v>
      </c>
      <c r="J7" s="84" t="s">
        <v>363</v>
      </c>
    </row>
    <row r="8" spans="3:10" ht="12.75">
      <c r="C8" s="246">
        <v>39629</v>
      </c>
      <c r="E8" s="150">
        <v>39263</v>
      </c>
      <c r="G8" s="89" t="s">
        <v>167</v>
      </c>
      <c r="H8" s="201" t="s">
        <v>202</v>
      </c>
      <c r="I8" s="89" t="s">
        <v>380</v>
      </c>
      <c r="J8" s="84" t="s">
        <v>399</v>
      </c>
    </row>
    <row r="9" spans="3:10" ht="12.75">
      <c r="C9" s="89" t="s">
        <v>441</v>
      </c>
      <c r="E9" s="89" t="s">
        <v>65</v>
      </c>
      <c r="G9" s="89" t="s">
        <v>400</v>
      </c>
      <c r="H9" s="201" t="s">
        <v>400</v>
      </c>
      <c r="I9" s="89" t="s">
        <v>65</v>
      </c>
      <c r="J9" s="84" t="s">
        <v>65</v>
      </c>
    </row>
    <row r="10" spans="3:10" ht="12.75">
      <c r="C10" s="88" t="s">
        <v>170</v>
      </c>
      <c r="E10" s="88" t="s">
        <v>171</v>
      </c>
      <c r="G10" s="88" t="s">
        <v>170</v>
      </c>
      <c r="H10" s="201" t="s">
        <v>170</v>
      </c>
      <c r="I10" s="88" t="s">
        <v>170</v>
      </c>
      <c r="J10" s="84" t="s">
        <v>170</v>
      </c>
    </row>
    <row r="11" spans="1:10" ht="12.75">
      <c r="A11" s="79"/>
      <c r="C11" s="88" t="s">
        <v>412</v>
      </c>
      <c r="E11" s="88" t="s">
        <v>412</v>
      </c>
      <c r="G11" s="88" t="s">
        <v>412</v>
      </c>
      <c r="H11" s="201" t="s">
        <v>412</v>
      </c>
      <c r="I11" s="88" t="s">
        <v>412</v>
      </c>
      <c r="J11" s="84" t="s">
        <v>412</v>
      </c>
    </row>
    <row r="12" ht="12.75">
      <c r="A12" s="79"/>
    </row>
    <row r="13" spans="1:10" ht="12.75">
      <c r="A13" s="79" t="s">
        <v>69</v>
      </c>
      <c r="C13" s="74">
        <v>306</v>
      </c>
      <c r="D13" s="74"/>
      <c r="E13" s="126">
        <v>199</v>
      </c>
      <c r="G13" s="74">
        <v>4292.568169999999</v>
      </c>
      <c r="H13" s="72">
        <v>244.70683000000022</v>
      </c>
      <c r="I13" s="74">
        <v>209.13721</v>
      </c>
      <c r="J13" s="84">
        <v>198.6732330000002</v>
      </c>
    </row>
    <row r="14" spans="1:10" ht="12.75">
      <c r="A14" s="79" t="s">
        <v>456</v>
      </c>
      <c r="C14" s="74">
        <v>91668</v>
      </c>
      <c r="D14" s="74"/>
      <c r="E14" s="74">
        <v>3100</v>
      </c>
      <c r="G14" s="74">
        <v>3100.00026</v>
      </c>
      <c r="H14" s="72">
        <v>3100.00026</v>
      </c>
      <c r="I14" s="74">
        <v>3100.00026</v>
      </c>
      <c r="J14" s="84">
        <v>3100.00026</v>
      </c>
    </row>
    <row r="15" spans="1:10" ht="12.75">
      <c r="A15" s="79" t="s">
        <v>70</v>
      </c>
      <c r="C15" s="74">
        <v>28204</v>
      </c>
      <c r="D15" s="74"/>
      <c r="E15" s="74">
        <v>4218</v>
      </c>
      <c r="G15" s="74">
        <v>-0.00035260799527168273</v>
      </c>
      <c r="H15" s="153">
        <f>(1277730.45*42.54%)/1000+0.000352607995271683</f>
        <v>543.5468860379953</v>
      </c>
      <c r="I15" s="74">
        <v>2891.5880748840063</v>
      </c>
      <c r="J15" s="84">
        <v>4218.3976281760015</v>
      </c>
    </row>
    <row r="16" spans="1:10" ht="12.75">
      <c r="A16" s="79" t="s">
        <v>17</v>
      </c>
      <c r="C16" s="74">
        <v>1</v>
      </c>
      <c r="D16" s="74"/>
      <c r="E16" s="74">
        <v>1</v>
      </c>
      <c r="G16" s="74">
        <v>1.3186</v>
      </c>
      <c r="H16" s="72">
        <v>1.319</v>
      </c>
      <c r="I16" s="74">
        <v>1.3186</v>
      </c>
      <c r="J16" s="84">
        <v>1.3186</v>
      </c>
    </row>
    <row r="17" spans="1:10" ht="12.75" hidden="1">
      <c r="A17" s="79" t="s">
        <v>71</v>
      </c>
      <c r="C17" s="74">
        <v>0</v>
      </c>
      <c r="D17" s="74"/>
      <c r="E17" s="74">
        <v>0</v>
      </c>
      <c r="G17" s="74">
        <v>0</v>
      </c>
      <c r="H17" s="72">
        <v>0</v>
      </c>
      <c r="I17" s="74">
        <v>0</v>
      </c>
      <c r="J17" s="84">
        <v>0</v>
      </c>
    </row>
    <row r="18" spans="1:9" ht="12.75">
      <c r="A18" s="79"/>
      <c r="C18" s="74"/>
      <c r="D18" s="74"/>
      <c r="E18" s="74"/>
      <c r="G18" s="74"/>
      <c r="H18" s="72"/>
      <c r="I18" s="74"/>
    </row>
    <row r="19" spans="1:9" ht="12.75">
      <c r="A19" s="79" t="s">
        <v>72</v>
      </c>
      <c r="C19" s="74"/>
      <c r="D19" s="74"/>
      <c r="E19" s="74"/>
      <c r="G19" s="74"/>
      <c r="I19" s="74"/>
    </row>
    <row r="20" spans="2:10" ht="12.75">
      <c r="B20" s="84" t="s">
        <v>158</v>
      </c>
      <c r="C20" s="74">
        <v>929</v>
      </c>
      <c r="D20" s="74"/>
      <c r="E20" s="74">
        <v>3805</v>
      </c>
      <c r="G20" s="126">
        <v>5140.16302</v>
      </c>
      <c r="H20" s="72">
        <v>4780.638299999999</v>
      </c>
      <c r="I20" s="74">
        <v>4952.858069999999</v>
      </c>
      <c r="J20" s="84">
        <v>3804.8732</v>
      </c>
    </row>
    <row r="21" spans="2:10" ht="12.75">
      <c r="B21" s="84" t="s">
        <v>73</v>
      </c>
      <c r="C21" s="74">
        <v>699</v>
      </c>
      <c r="D21" s="74"/>
      <c r="E21" s="126">
        <v>10982</v>
      </c>
      <c r="G21" s="74">
        <v>3003.0144</v>
      </c>
      <c r="H21" s="72">
        <v>4742.550189999992</v>
      </c>
      <c r="I21" s="84">
        <v>11787</v>
      </c>
      <c r="J21" s="84">
        <v>10996.638829999994</v>
      </c>
    </row>
    <row r="22" spans="2:8" ht="12.75">
      <c r="B22" s="84" t="s">
        <v>67</v>
      </c>
      <c r="C22" s="74">
        <v>18394</v>
      </c>
      <c r="D22" s="74"/>
      <c r="E22" s="126">
        <v>6220</v>
      </c>
      <c r="G22" s="74"/>
      <c r="H22" s="72"/>
    </row>
    <row r="23" spans="2:10" ht="12.75">
      <c r="B23" s="84" t="s">
        <v>187</v>
      </c>
      <c r="C23" s="74">
        <v>392</v>
      </c>
      <c r="D23" s="74"/>
      <c r="E23" s="126">
        <v>620</v>
      </c>
      <c r="G23" s="74">
        <v>11252.065799999998</v>
      </c>
      <c r="H23" s="72">
        <v>16022.572880000002</v>
      </c>
      <c r="I23" s="74">
        <v>6916.47869</v>
      </c>
      <c r="J23" s="84">
        <v>6840.1738399999995</v>
      </c>
    </row>
    <row r="24" spans="3:10" ht="12.75">
      <c r="C24" s="117">
        <f>SUM(C20:C23)</f>
        <v>20414</v>
      </c>
      <c r="D24" s="74"/>
      <c r="E24" s="117">
        <f>SUM(E20:E23)</f>
        <v>21627</v>
      </c>
      <c r="G24" s="158">
        <f>SUM(G20:G23)</f>
        <v>19395.243219999997</v>
      </c>
      <c r="H24" s="158">
        <f>SUM(H20:H23)</f>
        <v>25545.761369999993</v>
      </c>
      <c r="I24" s="158">
        <f>SUM(I20:I23)</f>
        <v>23656.33676</v>
      </c>
      <c r="J24" s="84">
        <v>21641.685869999994</v>
      </c>
    </row>
    <row r="26" spans="1:9" ht="12.75">
      <c r="A26" s="79" t="s">
        <v>74</v>
      </c>
      <c r="C26" s="74"/>
      <c r="D26" s="74"/>
      <c r="E26" s="74"/>
      <c r="G26" s="136"/>
      <c r="I26" s="74"/>
    </row>
    <row r="27" spans="2:10" ht="12.75">
      <c r="B27" s="84" t="s">
        <v>75</v>
      </c>
      <c r="C27" s="126">
        <f>2382+1</f>
        <v>2383</v>
      </c>
      <c r="D27" s="74"/>
      <c r="E27" s="74">
        <v>1302</v>
      </c>
      <c r="G27" s="74">
        <v>2389.55477</v>
      </c>
      <c r="H27" s="72">
        <v>2654.142439999992</v>
      </c>
      <c r="I27" s="84">
        <v>2649</v>
      </c>
      <c r="J27" s="84">
        <v>1315.8382399999807</v>
      </c>
    </row>
    <row r="28" spans="2:10" ht="12.75" hidden="1">
      <c r="B28" s="84" t="s">
        <v>76</v>
      </c>
      <c r="C28" s="74">
        <v>0</v>
      </c>
      <c r="D28" s="74"/>
      <c r="E28" s="74">
        <v>0</v>
      </c>
      <c r="G28" s="74">
        <v>0</v>
      </c>
      <c r="H28" s="202">
        <v>0</v>
      </c>
      <c r="I28" s="74">
        <v>0</v>
      </c>
      <c r="J28" s="84">
        <v>0</v>
      </c>
    </row>
    <row r="29" spans="2:10" ht="12.75">
      <c r="B29" s="84" t="s">
        <v>188</v>
      </c>
      <c r="C29" s="74">
        <f>218+14</f>
        <v>232</v>
      </c>
      <c r="D29" s="74"/>
      <c r="E29" s="74">
        <v>301</v>
      </c>
      <c r="G29" s="74">
        <v>373.12631</v>
      </c>
      <c r="H29" s="72">
        <v>432.56131</v>
      </c>
      <c r="I29" s="74">
        <v>425.19631</v>
      </c>
      <c r="J29" s="84">
        <v>300.50131</v>
      </c>
    </row>
    <row r="30" spans="3:10" ht="12.75">
      <c r="C30" s="117">
        <f>SUM(C27:C29)</f>
        <v>2615</v>
      </c>
      <c r="D30" s="74"/>
      <c r="E30" s="117">
        <f>SUM(E27:E29)</f>
        <v>1603</v>
      </c>
      <c r="G30" s="117">
        <f>SUM(G27:G29)</f>
        <v>2762.6810800000003</v>
      </c>
      <c r="H30" s="117">
        <f>SUM(H27:H29)</f>
        <v>3086.703749999992</v>
      </c>
      <c r="I30" s="117">
        <f>SUM(I27:I29)</f>
        <v>3074.19631</v>
      </c>
      <c r="J30" s="84">
        <v>1617.3395499999806</v>
      </c>
    </row>
    <row r="31" spans="3:9" ht="12.75">
      <c r="C31" s="136"/>
      <c r="D31" s="74"/>
      <c r="E31" s="136"/>
      <c r="I31" s="136"/>
    </row>
    <row r="32" spans="1:10" ht="12.75">
      <c r="A32" s="79" t="s">
        <v>451</v>
      </c>
      <c r="C32" s="136">
        <f>+C24-C30</f>
        <v>17799</v>
      </c>
      <c r="D32" s="136"/>
      <c r="E32" s="136">
        <v>20024</v>
      </c>
      <c r="G32" s="136">
        <f>G24-G30</f>
        <v>16632.562139999995</v>
      </c>
      <c r="H32" s="136">
        <f>H24-H30</f>
        <v>22459.05762</v>
      </c>
      <c r="I32" s="136">
        <f>I24-I30</f>
        <v>20582.14045</v>
      </c>
      <c r="J32" s="84">
        <v>20025.34632000001</v>
      </c>
    </row>
    <row r="33" spans="3:9" ht="12.75">
      <c r="C33" s="136"/>
      <c r="D33" s="136"/>
      <c r="E33" s="178"/>
      <c r="G33" s="119"/>
      <c r="H33" s="72"/>
      <c r="I33" s="136"/>
    </row>
    <row r="34" spans="1:10" ht="13.5" thickBot="1">
      <c r="A34" s="79"/>
      <c r="C34" s="118">
        <f>+C32+C13+C14+C15+C16</f>
        <v>137978</v>
      </c>
      <c r="D34" s="136"/>
      <c r="E34" s="118">
        <v>27542</v>
      </c>
      <c r="G34" s="118">
        <f>SUM(G13:G17)+G32</f>
        <v>24026.448817391996</v>
      </c>
      <c r="H34" s="118">
        <f>SUM(H13:H17)+H32</f>
        <v>26348.630596037994</v>
      </c>
      <c r="I34" s="118">
        <f>SUM(I13:I17)+I32</f>
        <v>26784.184594884005</v>
      </c>
      <c r="J34" s="84">
        <v>27542.736041176013</v>
      </c>
    </row>
    <row r="35" spans="3:9" ht="12.75">
      <c r="C35" s="136"/>
      <c r="D35" s="136"/>
      <c r="E35" s="178"/>
      <c r="I35" s="136"/>
    </row>
    <row r="36" spans="1:10" ht="12.75">
      <c r="A36" s="79" t="s">
        <v>77</v>
      </c>
      <c r="C36" s="126">
        <f>97534-1</f>
        <v>97533</v>
      </c>
      <c r="D36" s="136"/>
      <c r="E36" s="74">
        <v>139330</v>
      </c>
      <c r="G36" s="74">
        <v>139329.6</v>
      </c>
      <c r="H36" s="72">
        <v>139329.6</v>
      </c>
      <c r="I36" s="74">
        <v>139329.6</v>
      </c>
      <c r="J36" s="84">
        <v>139329.6</v>
      </c>
    </row>
    <row r="37" spans="1:10" ht="12.75">
      <c r="A37" s="79" t="s">
        <v>78</v>
      </c>
      <c r="C37" s="155">
        <f>23536-1-14</f>
        <v>23521</v>
      </c>
      <c r="D37" s="136"/>
      <c r="E37" s="119">
        <v>-111787.86219182402</v>
      </c>
      <c r="G37" s="155">
        <v>-115866.011275608</v>
      </c>
      <c r="H37" s="194">
        <f>-(114148.101994608)+(1277730.45)/1000*42.54%</f>
        <v>-113604.55546117801</v>
      </c>
      <c r="I37" s="155">
        <v>-112545.57878511601</v>
      </c>
      <c r="J37" s="84">
        <v>-111786.86219182402</v>
      </c>
    </row>
    <row r="38" spans="1:10" ht="12.75">
      <c r="A38" s="79" t="s">
        <v>96</v>
      </c>
      <c r="C38" s="268">
        <f>SUM(C36:C37)</f>
        <v>121054</v>
      </c>
      <c r="D38" s="74"/>
      <c r="E38" s="117">
        <f>SUM(E36:E37)</f>
        <v>27542.137808175976</v>
      </c>
      <c r="G38" s="74">
        <f>SUM(G36:G37)</f>
        <v>23463.588724392</v>
      </c>
      <c r="H38" s="74">
        <f>SUM(H36:H37)</f>
        <v>25725.044538821996</v>
      </c>
      <c r="I38" s="74">
        <v>26784.021214883993</v>
      </c>
      <c r="J38" s="84">
        <v>27542.73780817598</v>
      </c>
    </row>
    <row r="39" spans="2:10" ht="12.75" hidden="1">
      <c r="B39" s="79" t="s">
        <v>68</v>
      </c>
      <c r="C39" s="126">
        <v>0</v>
      </c>
      <c r="D39" s="74"/>
      <c r="E39" s="74">
        <v>0</v>
      </c>
      <c r="G39" s="126">
        <v>562.3533829999997</v>
      </c>
      <c r="H39" s="72">
        <v>622.5857419999998</v>
      </c>
      <c r="I39" s="126">
        <v>0</v>
      </c>
      <c r="J39" s="84">
        <v>0</v>
      </c>
    </row>
    <row r="40" spans="1:10" ht="12.75" hidden="1">
      <c r="A40" s="79"/>
      <c r="C40" s="117">
        <v>114031.27475483001</v>
      </c>
      <c r="D40" s="74"/>
      <c r="E40" s="117">
        <v>27541.73780817598</v>
      </c>
      <c r="G40" s="117">
        <f>SUM(G38:G39)</f>
        <v>24025.942107392002</v>
      </c>
      <c r="H40" s="117">
        <f>SUM(H38:H39)</f>
        <v>26347.630280821995</v>
      </c>
      <c r="I40" s="117">
        <f>SUM(I38:I39)</f>
        <v>26784.021214883993</v>
      </c>
      <c r="J40" s="84">
        <v>27542.73780817598</v>
      </c>
    </row>
    <row r="42" ht="12.75" hidden="1">
      <c r="A42" s="84" t="s">
        <v>24</v>
      </c>
    </row>
    <row r="43" spans="1:10" ht="12.75" hidden="1">
      <c r="A43" s="84" t="s">
        <v>25</v>
      </c>
      <c r="C43" s="77">
        <v>0.5845523161058214</v>
      </c>
      <c r="E43" s="77">
        <v>0.09883663560426492</v>
      </c>
      <c r="I43" s="77">
        <v>0.0961174840625538</v>
      </c>
      <c r="J43" s="84">
        <v>0.09884022421716555</v>
      </c>
    </row>
    <row r="44" ht="12.75" hidden="1"/>
    <row r="45" spans="1:9" ht="12.75" hidden="1">
      <c r="A45" s="79"/>
      <c r="C45" s="74"/>
      <c r="D45" s="74"/>
      <c r="E45" s="74"/>
      <c r="I45" s="74"/>
    </row>
    <row r="46" spans="1:9" ht="12.75">
      <c r="A46" s="79" t="s">
        <v>457</v>
      </c>
      <c r="C46" s="74"/>
      <c r="D46" s="74"/>
      <c r="E46" s="74"/>
      <c r="I46" s="74"/>
    </row>
    <row r="47" spans="1:9" ht="12.75">
      <c r="A47" s="79"/>
      <c r="B47" s="84" t="s">
        <v>458</v>
      </c>
      <c r="C47" s="74">
        <v>16924</v>
      </c>
      <c r="D47" s="74"/>
      <c r="E47" s="74">
        <v>0</v>
      </c>
      <c r="I47" s="74"/>
    </row>
    <row r="48" spans="3:9" ht="13.5" thickBot="1">
      <c r="C48" s="118">
        <f>+C38+C47</f>
        <v>137978</v>
      </c>
      <c r="D48" s="74"/>
      <c r="E48" s="118">
        <f>+E38+E47</f>
        <v>27542.137808175976</v>
      </c>
      <c r="I48" s="74"/>
    </row>
    <row r="49" spans="1:9" ht="12.75">
      <c r="A49" s="79"/>
      <c r="C49" s="136"/>
      <c r="D49" s="74"/>
      <c r="E49" s="136"/>
      <c r="I49" s="74"/>
    </row>
    <row r="50" spans="1:9" ht="12.75">
      <c r="A50" s="79"/>
      <c r="C50" s="74"/>
      <c r="D50" s="74"/>
      <c r="E50" s="74"/>
      <c r="I50" s="74"/>
    </row>
    <row r="51" spans="1:9" s="78" customFormat="1" ht="12.75">
      <c r="A51" s="95" t="s">
        <v>16</v>
      </c>
      <c r="C51" s="96"/>
      <c r="D51" s="96"/>
      <c r="E51" s="96"/>
      <c r="I51" s="96"/>
    </row>
    <row r="52" spans="1:9" s="78" customFormat="1" ht="12.75">
      <c r="A52" s="95" t="s">
        <v>15</v>
      </c>
      <c r="C52" s="96"/>
      <c r="D52" s="96"/>
      <c r="E52" s="96"/>
      <c r="H52" s="70"/>
      <c r="I52" s="96"/>
    </row>
    <row r="53" spans="1:9" ht="12.75">
      <c r="A53" s="79"/>
      <c r="C53" s="74"/>
      <c r="D53" s="74"/>
      <c r="E53" s="74"/>
      <c r="H53" s="70"/>
      <c r="I53" s="74"/>
    </row>
    <row r="54" spans="3:9" ht="12.75">
      <c r="C54" s="74"/>
      <c r="D54" s="74"/>
      <c r="E54" s="74"/>
      <c r="I54" s="74"/>
    </row>
    <row r="55" spans="3:9" ht="12.75">
      <c r="C55" s="74"/>
      <c r="D55" s="74"/>
      <c r="E55" s="74"/>
      <c r="G55" s="74"/>
      <c r="I55" s="74"/>
    </row>
    <row r="56" spans="3:9" ht="12.75">
      <c r="C56" s="74"/>
      <c r="D56" s="74"/>
      <c r="E56" s="74"/>
      <c r="G56" s="74"/>
      <c r="I56" s="74"/>
    </row>
    <row r="57" spans="3:9" ht="12.75">
      <c r="C57" s="74"/>
      <c r="D57" s="74"/>
      <c r="E57" s="74"/>
      <c r="G57" s="74"/>
      <c r="I57" s="74"/>
    </row>
    <row r="58" spans="3:9" ht="12.75">
      <c r="C58" s="74"/>
      <c r="D58" s="74"/>
      <c r="E58" s="74"/>
      <c r="G58" s="74"/>
      <c r="I58" s="74"/>
    </row>
    <row r="59" spans="3:9" ht="12.75">
      <c r="C59" s="74"/>
      <c r="D59" s="74"/>
      <c r="E59" s="74"/>
      <c r="G59" s="74"/>
      <c r="I59" s="74"/>
    </row>
    <row r="60" spans="3:9" ht="12.75">
      <c r="C60" s="74"/>
      <c r="D60" s="74"/>
      <c r="E60" s="74"/>
      <c r="G60" s="74"/>
      <c r="I60" s="74"/>
    </row>
    <row r="61" spans="3:9" ht="12.75">
      <c r="C61" s="74"/>
      <c r="D61" s="74"/>
      <c r="E61" s="74"/>
      <c r="G61" s="74"/>
      <c r="I61" s="74"/>
    </row>
    <row r="62" spans="3:9" ht="12.75">
      <c r="C62" s="74"/>
      <c r="D62" s="74"/>
      <c r="E62" s="74"/>
      <c r="G62" s="74"/>
      <c r="I62" s="74"/>
    </row>
    <row r="63" ht="12.75">
      <c r="G63" s="74"/>
    </row>
    <row r="64" ht="12.75">
      <c r="G64" s="74"/>
    </row>
    <row r="65" ht="12.75">
      <c r="G65" s="74"/>
    </row>
    <row r="66" ht="12.75">
      <c r="G66" s="74"/>
    </row>
    <row r="67" ht="12.75">
      <c r="G67" s="74"/>
    </row>
    <row r="68" ht="12.75">
      <c r="G68" s="74"/>
    </row>
  </sheetData>
  <sheetProtection/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Telecommunication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</dc:creator>
  <cp:keywords/>
  <dc:description/>
  <cp:lastModifiedBy>user</cp:lastModifiedBy>
  <cp:lastPrinted>2008-08-26T12:16:18Z</cp:lastPrinted>
  <dcterms:created xsi:type="dcterms:W3CDTF">2002-02-20T03:27:58Z</dcterms:created>
  <dcterms:modified xsi:type="dcterms:W3CDTF">2008-08-27T09:16:25Z</dcterms:modified>
  <cp:category/>
  <cp:version/>
  <cp:contentType/>
  <cp:contentStatus/>
</cp:coreProperties>
</file>