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0" yWindow="65521" windowWidth="8835" windowHeight="8775" tabRatio="875" firstSheet="3" activeTab="3"/>
  </bookViews>
  <sheets>
    <sheet name="CF" sheetId="1" state="hidden" r:id="rId1"/>
    <sheet name="Associate provn" sheetId="2" state="hidden" r:id="rId2"/>
    <sheet name="CJE" sheetId="3" state="hidden" r:id="rId3"/>
    <sheet name="kfi" sheetId="4" r:id="rId4"/>
    <sheet name="CIS" sheetId="5" r:id="rId5"/>
    <sheet name="CBS" sheetId="6" r:id="rId6"/>
    <sheet name="Sheet1" sheetId="7" state="hidden" r:id="rId7"/>
    <sheet name="CL" sheetId="8" state="hidden" r:id="rId8"/>
    <sheet name="dormant" sheetId="9" state="hidden" r:id="rId9"/>
    <sheet name="CCIE" sheetId="10" r:id="rId10"/>
    <sheet name="CCF" sheetId="11" r:id="rId11"/>
    <sheet name="Fed Pwr" sheetId="12" state="hidden" r:id="rId12"/>
    <sheet name="asso" sheetId="13" state="hidden" r:id="rId13"/>
    <sheet name="UR Profit" sheetId="14" state="hidden" r:id="rId14"/>
    <sheet name="Disposal" sheetId="15" state="hidden" r:id="rId15"/>
    <sheet name="asso 2" sheetId="16" state="hidden" r:id="rId16"/>
    <sheet name="Contract" sheetId="17" state="hidden" r:id="rId17"/>
    <sheet name="Sheet2" sheetId="18" state="hidden" r:id="rId18"/>
    <sheet name="Sheet4" sheetId="19" state="hidden" r:id="rId19"/>
  </sheets>
  <definedNames>
    <definedName name="_xlnm.Print_Area" localSheetId="5">'CBS'!$A$1:$E$53</definedName>
    <definedName name="_xlnm.Print_Area" localSheetId="10">'CCF'!$A$1:$F$53</definedName>
    <definedName name="_xlnm.Print_Area" localSheetId="9">'CCIE'!$A$4:$H$56</definedName>
    <definedName name="_xlnm.Print_Area" localSheetId="4">'CIS'!$A$1:$J$54</definedName>
    <definedName name="_xlnm.Print_Area" localSheetId="2">'CJE'!$A$33:$E$44</definedName>
    <definedName name="_xlnm.Print_Area" localSheetId="3">'kfi'!$A$1:$G$43</definedName>
  </definedNames>
  <calcPr fullCalcOnLoad="1"/>
</workbook>
</file>

<file path=xl/sharedStrings.xml><?xml version="1.0" encoding="utf-8"?>
<sst xmlns="http://schemas.openxmlformats.org/spreadsheetml/2006/main" count="559" uniqueCount="405">
  <si>
    <t>CASH FLOW FROM OPERATING ACTIVITIES</t>
  </si>
  <si>
    <t>Interest expense</t>
  </si>
  <si>
    <t>Operating loss before working capital changes</t>
  </si>
  <si>
    <t>Cash generated from operations</t>
  </si>
  <si>
    <t>Other Operating Expenses</t>
  </si>
  <si>
    <t>Profit / (Loss) For The Period</t>
  </si>
  <si>
    <t>Attributable To</t>
  </si>
  <si>
    <t>Shareholders of the Company</t>
  </si>
  <si>
    <t>Quarter As At</t>
  </si>
  <si>
    <t>Year As At</t>
  </si>
  <si>
    <t>Non Current Assets</t>
  </si>
  <si>
    <t>ASSETS</t>
  </si>
  <si>
    <t>TOTAL ASSETS</t>
  </si>
  <si>
    <t>Equity &amp; liabilities</t>
  </si>
  <si>
    <t>Equity Attributable To Shareholders of the Company</t>
  </si>
  <si>
    <t>Total Equity</t>
  </si>
  <si>
    <t>Non Current Liabilities</t>
  </si>
  <si>
    <t>Long Term Borrowings</t>
  </si>
  <si>
    <t>Deferred Tax</t>
  </si>
  <si>
    <t>Total Liabilities</t>
  </si>
  <si>
    <t>Total Equity &amp; Liabilities</t>
  </si>
  <si>
    <t xml:space="preserve">Net Asset per Share attributable to ordinary equity holders </t>
  </si>
  <si>
    <t>of the parent - RM</t>
  </si>
  <si>
    <t xml:space="preserve">Transfer pursuant to impairment </t>
  </si>
  <si>
    <t>losses in an associate of a subsidiary</t>
  </si>
  <si>
    <t>Attributable o Shareholders of the Company</t>
  </si>
  <si>
    <t>Minority</t>
  </si>
  <si>
    <t>Equity</t>
  </si>
  <si>
    <t>NET CHANGES IN CASH AND CASH EQUIVALENTS</t>
  </si>
  <si>
    <t>CASH AND CASH EQUIVALENTS COMPRISE</t>
  </si>
  <si>
    <t>Fixed Deposits</t>
  </si>
  <si>
    <t>Cash and Bank Balances</t>
  </si>
  <si>
    <t>Bank Overdraft</t>
  </si>
  <si>
    <t>Interest received</t>
  </si>
  <si>
    <t>Interest paid</t>
  </si>
  <si>
    <t>Net cash generated from operating activities</t>
  </si>
  <si>
    <t>31/03/2006</t>
  </si>
  <si>
    <t xml:space="preserve">EPS (sen)  </t>
  </si>
  <si>
    <t>- Basic</t>
  </si>
  <si>
    <t xml:space="preserve">                   </t>
  </si>
  <si>
    <t>- Diluted</t>
  </si>
  <si>
    <t>Cash Flow Statement For The Year Ended 30 June 2002</t>
  </si>
  <si>
    <t>CASH FLOWS FROM OPERATING ACTIVITIES</t>
  </si>
  <si>
    <t>Loss before taxation</t>
  </si>
  <si>
    <t>Adjustments for items not involving movement of cash :</t>
  </si>
  <si>
    <t>CASH FLOWS FROM INVESTING ACTIVITY</t>
  </si>
  <si>
    <t>Purchase of fixed asset representing net cash used in investing activities</t>
  </si>
  <si>
    <t>(Loss) / profit before tax</t>
  </si>
  <si>
    <t>Operating (loss)/ profit before working capital changes</t>
  </si>
  <si>
    <t xml:space="preserve">Tax (paid) / refunded </t>
  </si>
  <si>
    <t>Net cash flow used in operating activities</t>
  </si>
  <si>
    <t>CASH FLOWS FROM FINANCNG ACTIVITY</t>
  </si>
  <si>
    <t>Repayment of short term borrowings representing net cash used in financing activities</t>
  </si>
  <si>
    <t>Net increase in cash and bank balances</t>
  </si>
  <si>
    <t>Cash and bank balances at 1 July, 2001/2000</t>
  </si>
  <si>
    <t>Cash and bank balances at 30 June</t>
  </si>
  <si>
    <t>Increase in receivables</t>
  </si>
  <si>
    <t>(Decrease)/increase in payables</t>
  </si>
  <si>
    <t>Increase in related company balances</t>
  </si>
  <si>
    <t>Plusnet</t>
  </si>
  <si>
    <t>PJ</t>
  </si>
  <si>
    <t>Cost of Investment</t>
  </si>
  <si>
    <t>Share of post-acquisition profit</t>
  </si>
  <si>
    <t>- Up to June 2001</t>
  </si>
  <si>
    <t>- Jul 2001 - Dec 2001</t>
  </si>
  <si>
    <t>Share of revaluation reserve</t>
  </si>
  <si>
    <t>Share of net assets</t>
  </si>
  <si>
    <t>Goodwill / (Acquisition reserve)</t>
  </si>
  <si>
    <t>Profit over recognized</t>
  </si>
  <si>
    <t>Investment In Associates As At 30 June 2002</t>
  </si>
  <si>
    <t>- Amount before right issue</t>
  </si>
  <si>
    <t>- Dilution after right issue</t>
  </si>
  <si>
    <t>Share of share premium after RI</t>
  </si>
  <si>
    <t>After Right Issue</t>
  </si>
  <si>
    <t>B4 Right Issue</t>
  </si>
  <si>
    <t>Right Issue of Federal Power:</t>
  </si>
  <si>
    <t>Shareholders' equity</t>
  </si>
  <si>
    <t>FCW I's shareholding</t>
  </si>
  <si>
    <t>FCW I's share of equity</t>
  </si>
  <si>
    <t>Accretion of equity interest</t>
  </si>
  <si>
    <t>FY 2002</t>
  </si>
  <si>
    <t>Proceeds from disposal of property, plant &amp; equipment</t>
  </si>
  <si>
    <t xml:space="preserve"> No</t>
  </si>
  <si>
    <t>Description</t>
  </si>
  <si>
    <t>Operating cost</t>
  </si>
  <si>
    <t>(Being provision for diminution in value of investment in subsidiary)</t>
  </si>
  <si>
    <t>Basis :</t>
  </si>
  <si>
    <t>Compared with NTA of FCW I Group</t>
  </si>
  <si>
    <t>Shortfall to be provided</t>
  </si>
  <si>
    <t xml:space="preserve">  Investment in subsidiary </t>
  </si>
  <si>
    <t>Disposal of subsidiary</t>
  </si>
  <si>
    <t>During the year, the Company disposed of a subsidiary to its Holding Company.</t>
  </si>
  <si>
    <t>The value of assets and liabilities disposed of were as follows:</t>
  </si>
  <si>
    <t>RM</t>
  </si>
  <si>
    <t>Current assets</t>
  </si>
  <si>
    <t>Current liabilities</t>
  </si>
  <si>
    <t>Net assets disposed of</t>
  </si>
  <si>
    <t>Gain on disposal</t>
  </si>
  <si>
    <t>Less: Cash and cash equivalents of the subsidiary</t>
  </si>
  <si>
    <t>Cash flow on disposal net of cash disposed of</t>
  </si>
  <si>
    <t>Wai Leo</t>
  </si>
  <si>
    <t>Please incorporate the following note into the cash flow statement of Federal Telecommunications Sdn Bhd.</t>
  </si>
  <si>
    <t>FY 2003</t>
  </si>
  <si>
    <t>RM' 000</t>
  </si>
  <si>
    <t>Adjustments for:</t>
  </si>
  <si>
    <t>Non-cash items</t>
  </si>
  <si>
    <t>Non-operating items</t>
  </si>
  <si>
    <t>Net changes in current assets</t>
  </si>
  <si>
    <t>Net changes in current liabilities</t>
  </si>
  <si>
    <t>Interest income received</t>
  </si>
  <si>
    <t>Interest expense paid</t>
  </si>
  <si>
    <t>CASH FLOW FROM INVESTING ACTIVITIES</t>
  </si>
  <si>
    <t>Purchase of property, plant and equipment</t>
  </si>
  <si>
    <t>CASH FLOW FROM FINANCING ACTIVITIES</t>
  </si>
  <si>
    <t>CONDENSED CONSOLIDATED CASH FLOW STATEMENT</t>
  </si>
  <si>
    <t>CASH AND CASH EQUIVALENTS AT END OF PERIOD</t>
  </si>
  <si>
    <t>CASH AND CASH EQUIVALENTS AT BEGINNING OF PERIOD</t>
  </si>
  <si>
    <t>CONDENSED CONSOLIDATED INCOME STATEMENTS</t>
  </si>
  <si>
    <t>Quarter</t>
  </si>
  <si>
    <t>Ended</t>
  </si>
  <si>
    <t>To Date</t>
  </si>
  <si>
    <t>Comparative</t>
  </si>
  <si>
    <t>Revenue</t>
  </si>
  <si>
    <t>Other Operating Income</t>
  </si>
  <si>
    <t>Finance Costs</t>
  </si>
  <si>
    <t>Share Of Results In Associates</t>
  </si>
  <si>
    <t>Minority Interest</t>
  </si>
  <si>
    <t>N/A</t>
  </si>
  <si>
    <t>30 June</t>
  </si>
  <si>
    <t>Property, Plant and Equipment</t>
  </si>
  <si>
    <t>Investments In Associates</t>
  </si>
  <si>
    <t>Other investments</t>
  </si>
  <si>
    <t>Deferred Expenditure</t>
  </si>
  <si>
    <t>Current Assets</t>
  </si>
  <si>
    <t>Receivables</t>
  </si>
  <si>
    <t>Current Liabilities</t>
  </si>
  <si>
    <t>Payables</t>
  </si>
  <si>
    <t>Short-term borrowings and bank overdraft</t>
  </si>
  <si>
    <t>Share Capital</t>
  </si>
  <si>
    <t>Reserves</t>
  </si>
  <si>
    <t>(Unaudited)</t>
  </si>
  <si>
    <t>(Audited)</t>
  </si>
  <si>
    <t>CONDENSED CONSOLIDATED STATEMENT OF CHANGES IN EQUITY</t>
  </si>
  <si>
    <t xml:space="preserve">Share </t>
  </si>
  <si>
    <t>Capital</t>
  </si>
  <si>
    <t>Share</t>
  </si>
  <si>
    <t>Premium</t>
  </si>
  <si>
    <t>Reserve</t>
  </si>
  <si>
    <t xml:space="preserve">Accumulated </t>
  </si>
  <si>
    <t>Loss</t>
  </si>
  <si>
    <t>FT</t>
  </si>
  <si>
    <t>DG SIS</t>
  </si>
  <si>
    <t>DG SERV</t>
  </si>
  <si>
    <t>COS</t>
  </si>
  <si>
    <t>FCW Holdings Bhd</t>
  </si>
  <si>
    <t>Contingent Liabilities</t>
  </si>
  <si>
    <t>RHB</t>
  </si>
  <si>
    <t>HLB</t>
  </si>
  <si>
    <t>(The Condensed Consolidated Balance Sheets should be read in conjunction</t>
  </si>
  <si>
    <t>2006</t>
  </si>
  <si>
    <t>(The Condensed Consolidated Cash Flow Statement should be read in conjunction</t>
  </si>
  <si>
    <t>(The Condensed Consolidated Income Statement should be read in conjunction</t>
  </si>
  <si>
    <t>(Company No. : 3116 K)</t>
  </si>
  <si>
    <t>Share of results in associated companies</t>
  </si>
  <si>
    <t>(Company No. : 3116 K )</t>
  </si>
  <si>
    <t>INDIVIDUAL QUARTER</t>
  </si>
  <si>
    <t>Current Year Quarter</t>
  </si>
  <si>
    <t>Preceding Year Corresponding Quarter</t>
  </si>
  <si>
    <t>Current Year To Date</t>
  </si>
  <si>
    <t>Preceding Year Corresponding Period</t>
  </si>
  <si>
    <t>Profit/(Loss) before tax</t>
  </si>
  <si>
    <t>Basic earnings/(loss) per share (sen)</t>
  </si>
  <si>
    <t>As At End Of Current Quarter</t>
  </si>
  <si>
    <t>As At Preceding Financial Year End</t>
  </si>
  <si>
    <t>Proposal To Strike Off Dormant Subsidiaries</t>
  </si>
  <si>
    <t>No</t>
  </si>
  <si>
    <t>Subsidiary</t>
  </si>
  <si>
    <t>Issued</t>
  </si>
  <si>
    <t>Paid-up</t>
  </si>
  <si>
    <t>Unabsorbed Loss</t>
  </si>
  <si>
    <t>@30/6/2001</t>
  </si>
  <si>
    <t>Teco Electrical Motor Machinery Mfg. Sdn Bhd</t>
  </si>
  <si>
    <t>Malco Metal Sdn Bhd</t>
  </si>
  <si>
    <t>Indah Nominees Sdn Bhd</t>
  </si>
  <si>
    <t>Sun Moon Star Sdn Bhd</t>
  </si>
  <si>
    <t>FT Cellular Systems Sdn Bhd</t>
  </si>
  <si>
    <t>Widenet</t>
  </si>
  <si>
    <t>Ghamal</t>
  </si>
  <si>
    <t>Cost of investment</t>
  </si>
  <si>
    <t>Group's share of profit/(loss)</t>
  </si>
  <si>
    <t>- Up to 30 June 2001</t>
  </si>
  <si>
    <t>- Current year</t>
  </si>
  <si>
    <t>Group's share of capital/revaluation reserves</t>
  </si>
  <si>
    <t>- FY 30 June 2002</t>
  </si>
  <si>
    <t>Goodwill w/o</t>
  </si>
  <si>
    <t>1st Qtr</t>
  </si>
  <si>
    <t>2nd Qtr</t>
  </si>
  <si>
    <t>Short-term borrowings</t>
  </si>
  <si>
    <t>ended</t>
  </si>
  <si>
    <t>Tax recoverable</t>
  </si>
  <si>
    <t>DG Ser</t>
  </si>
  <si>
    <t>Provision for audit/tax fees</t>
  </si>
  <si>
    <t>Provision for directors fees</t>
  </si>
  <si>
    <t>Provision for bonus</t>
  </si>
  <si>
    <t>EPF/Socso/Income tax</t>
  </si>
  <si>
    <t>Accrued salary</t>
  </si>
  <si>
    <t>Accrued interest to Fujikura</t>
  </si>
  <si>
    <t>PlusNet</t>
  </si>
  <si>
    <t>Sales incentive</t>
  </si>
  <si>
    <t>Accrued commission</t>
  </si>
  <si>
    <t>Other cos</t>
  </si>
  <si>
    <t>Gross interest expense</t>
  </si>
  <si>
    <t>ADDITIONAL INFORMATION</t>
  </si>
  <si>
    <t>CUMULATIVE QUARTER</t>
  </si>
  <si>
    <t>Cumulative</t>
  </si>
  <si>
    <t>Provision For Diminution In Value of Investment</t>
  </si>
  <si>
    <t>Net Tangible Assets As At 31-12-02 (audited)</t>
  </si>
  <si>
    <t>Less: Losses From Jan 03 - Jun 03</t>
  </si>
  <si>
    <t>- Jan 03</t>
  </si>
  <si>
    <t>- Feb 03</t>
  </si>
  <si>
    <t>- Mar 03</t>
  </si>
  <si>
    <t>- Apr 03</t>
  </si>
  <si>
    <t>- May 03</t>
  </si>
  <si>
    <t>- Jun 03</t>
  </si>
  <si>
    <t>Net Tangible Assets As At 30-6-02</t>
  </si>
  <si>
    <t>FCWI's Share of NTA</t>
  </si>
  <si>
    <t>Shortfall, to provide for diminution in value</t>
  </si>
  <si>
    <t>Not required</t>
  </si>
  <si>
    <t>Jan</t>
  </si>
  <si>
    <t>2002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</si>
  <si>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</si>
  <si>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</si>
  <si>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</si>
  <si>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</si>
  <si>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</si>
  <si>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</si>
  <si>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</si>
  <si>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</si>
  <si>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</si>
  <si>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</si>
  <si>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</si>
  <si>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Compared with audited results</t>
  </si>
  <si>
    <t>Loss under-reconized</t>
  </si>
  <si>
    <t>FCWI's portion @29.68%</t>
  </si>
  <si>
    <t>Amount Due From/(To) Contract Customer</t>
  </si>
  <si>
    <t>Aggregate cost incurred todate</t>
  </si>
  <si>
    <t>Add: Attributable Profits</t>
  </si>
  <si>
    <t>Less: Progress billings</t>
  </si>
  <si>
    <t>Amount due from/(to) Contract customers</t>
  </si>
  <si>
    <t>Advance received</t>
  </si>
  <si>
    <t>Retention</t>
  </si>
  <si>
    <t>Summary of Key Financial Information for the period ended 30 Sept 2006</t>
  </si>
  <si>
    <t>30/09/2006</t>
  </si>
  <si>
    <t>30/09/2005</t>
  </si>
  <si>
    <t>FY 2006/07</t>
  </si>
  <si>
    <t>FOR THE QUARTER ENDED 30 Sept 2006</t>
  </si>
  <si>
    <t>3 Months</t>
  </si>
  <si>
    <t>CONDENSED BALANCE SHEET AS AT 30 SEPT 2006</t>
  </si>
  <si>
    <t>30 Sept</t>
  </si>
  <si>
    <t xml:space="preserve">  with the Annual Financial Report for the year ended 30 June 2006)</t>
  </si>
  <si>
    <t>FOR THE PERIOD ENDED 30 SEPT 2006</t>
  </si>
  <si>
    <t>FOR THE QUARTER ENDED 30 SEPT 2006</t>
  </si>
  <si>
    <t>3 months</t>
  </si>
  <si>
    <t>30 Sept 2005</t>
  </si>
  <si>
    <t>30 Sept 2006</t>
  </si>
  <si>
    <t>At 1 July 2006</t>
  </si>
  <si>
    <t>At 30 Sept 2006</t>
  </si>
  <si>
    <t>Dividend paid to minorities</t>
  </si>
  <si>
    <t>Cash used in operations</t>
  </si>
  <si>
    <t>Contract revenue recognized as revenue during the year</t>
  </si>
  <si>
    <t>Contract costs recognized as expense during the year</t>
  </si>
  <si>
    <t>Client's Adjustments</t>
  </si>
  <si>
    <t>1. Dr : Income Tax Expense</t>
  </si>
  <si>
    <t xml:space="preserve">          Cr : Provision for Taxatioin</t>
  </si>
  <si>
    <t>(Being provision for YA 2003 Income Tax )</t>
  </si>
  <si>
    <t>2. Dr : Contract WIP</t>
  </si>
  <si>
    <t xml:space="preserve">          Cr : Amount due to Contract Customer</t>
  </si>
  <si>
    <t xml:space="preserve">          Other Receivables</t>
  </si>
  <si>
    <t>(Being reclassification of accounts)</t>
  </si>
  <si>
    <t>Rights issue expenses</t>
  </si>
  <si>
    <t>Unrealized Profits on CDMA Fixed Wireless Terminal</t>
  </si>
  <si>
    <t>- DTP 800</t>
  </si>
  <si>
    <t>- DTT 800</t>
  </si>
  <si>
    <t>- Patch Antena</t>
  </si>
  <si>
    <t>- Lighting Arrestor</t>
  </si>
  <si>
    <t>- Data Cable</t>
  </si>
  <si>
    <t>No of units unsold</t>
  </si>
  <si>
    <t>Margin per unit</t>
  </si>
  <si>
    <t>Unrealized profit</t>
  </si>
  <si>
    <t>Cost of Sales</t>
  </si>
  <si>
    <t>- Inventories write off</t>
  </si>
  <si>
    <t>Client's Adjustment - FYE 30 June 2003</t>
  </si>
  <si>
    <t>Carrying Cost of investment in FCW I</t>
  </si>
  <si>
    <t>Net profit for the period</t>
  </si>
  <si>
    <t>Cometron Sdn Bhd</t>
  </si>
  <si>
    <t xml:space="preserve">   Trade Payable - Accrued commission</t>
  </si>
  <si>
    <t>(Being accrual for commission payable to Widenet Distributor Sdn Bhd : RM494,153.71@60%)</t>
  </si>
  <si>
    <t xml:space="preserve">Inventories </t>
  </si>
  <si>
    <t>Bad Debts Written  off</t>
  </si>
  <si>
    <t xml:space="preserve">  Trade receivables</t>
  </si>
  <si>
    <t>(Being bad debts written off due to termination)</t>
  </si>
  <si>
    <t>Other receivables - Dividend receivables</t>
  </si>
  <si>
    <t xml:space="preserve">                          - Tax credit</t>
  </si>
  <si>
    <t xml:space="preserve">   Dividend Income</t>
  </si>
  <si>
    <t>(Being dividend income receivable from Digiphonic Sistem Sdn Bhd)</t>
  </si>
  <si>
    <t>(The Condensed Consolidated Statement Of Changes In Equity should be read in conjunction</t>
  </si>
  <si>
    <t>Sundry payables</t>
  </si>
  <si>
    <t xml:space="preserve">Deposits </t>
  </si>
  <si>
    <t>Prepayment</t>
  </si>
  <si>
    <t>AGM</t>
  </si>
  <si>
    <t>Fixed deposit</t>
  </si>
  <si>
    <t>Repo</t>
  </si>
  <si>
    <t>Cash &amp; Bank</t>
  </si>
  <si>
    <t>RC</t>
  </si>
  <si>
    <t>- OCBC</t>
  </si>
  <si>
    <t>- Aseam Bankers</t>
  </si>
  <si>
    <t>- Affin Merchant</t>
  </si>
  <si>
    <t>- RHB</t>
  </si>
  <si>
    <t>Overdraft</t>
  </si>
  <si>
    <t>BA</t>
  </si>
  <si>
    <t>Share of Associate loss</t>
  </si>
  <si>
    <t>4th Qtr</t>
  </si>
  <si>
    <t>YTD</t>
  </si>
  <si>
    <t>- FFC</t>
  </si>
  <si>
    <t>- FP</t>
  </si>
  <si>
    <t>- Provision for doubtful debts</t>
  </si>
  <si>
    <t>- FA w/o</t>
  </si>
  <si>
    <t>- FA impairment loss</t>
  </si>
  <si>
    <t>- Inventories write down</t>
  </si>
  <si>
    <t>- Unrealized profit on inter-co sales of CDMA</t>
  </si>
  <si>
    <t>- Provision for Widenet Distributor profit</t>
  </si>
  <si>
    <t>Year end adjustments</t>
  </si>
  <si>
    <t>Information for 4th Quarter 2003</t>
  </si>
  <si>
    <t>Interest</t>
  </si>
  <si>
    <t>Period ended</t>
  </si>
  <si>
    <t>- FY 30 June 2003</t>
  </si>
  <si>
    <t>Analysis of Other Receivables As At 30 September 2003</t>
  </si>
  <si>
    <t>Insurance claimables</t>
  </si>
  <si>
    <t>Advance billings</t>
  </si>
  <si>
    <t>Accrued project cost</t>
  </si>
  <si>
    <t>Anaysis of Other Payables As At 30 September 2003</t>
  </si>
  <si>
    <t>Proceeds from rights issue</t>
  </si>
  <si>
    <t>Rights issue</t>
  </si>
  <si>
    <t>Capitalization for rights issue</t>
  </si>
  <si>
    <t>Profit / (Loss) From Operations</t>
  </si>
  <si>
    <t>Investment in Associates as at 30 JUNE 2004</t>
  </si>
  <si>
    <t>Profit / (Loss) Before Tax</t>
  </si>
  <si>
    <t>Net  assets per share attributable to ordinary equity holders of the parent (RM)</t>
  </si>
  <si>
    <t>Net Profit / (Loss) For The Period</t>
  </si>
  <si>
    <t>Reversal of surplus revaluation by an associate</t>
  </si>
  <si>
    <t>Federal Power Sdn Bhd</t>
  </si>
  <si>
    <t>Share of Loss From Jan 2003 - Dec 2003</t>
  </si>
  <si>
    <t>-</t>
  </si>
  <si>
    <t>Per mgt accounts</t>
  </si>
  <si>
    <t>Per audited accounts</t>
  </si>
  <si>
    <t>Under-recognized</t>
  </si>
  <si>
    <t>FCWI's share @29.68%</t>
  </si>
  <si>
    <t>Dr: Share of losses in associates</t>
  </si>
  <si>
    <t xml:space="preserve">   Cr: Investment in associates</t>
  </si>
  <si>
    <t>(Being further losses of Federal Power Sdn Bhd to be recognized after audit)</t>
  </si>
  <si>
    <t>Gross interest income</t>
  </si>
  <si>
    <t>Investment property</t>
  </si>
  <si>
    <t>- FY 30 June 2004</t>
  </si>
  <si>
    <t>TOTAL</t>
  </si>
  <si>
    <t>Consol</t>
  </si>
  <si>
    <t>Cash and bank balances</t>
  </si>
  <si>
    <t>Taxation</t>
  </si>
  <si>
    <t>Dr</t>
  </si>
  <si>
    <t>Cr</t>
  </si>
  <si>
    <t>Cost of sales</t>
  </si>
  <si>
    <t>Gross Profit</t>
  </si>
  <si>
    <t>Depreciation</t>
  </si>
  <si>
    <t xml:space="preserve"> </t>
  </si>
  <si>
    <t>FTRS</t>
  </si>
  <si>
    <t>30 June 2006</t>
  </si>
  <si>
    <t>At 30 June 2006</t>
  </si>
  <si>
    <t>Cometron</t>
  </si>
  <si>
    <t>3rd Qtr</t>
  </si>
  <si>
    <t>30/9/2005</t>
  </si>
  <si>
    <t>31/12/2005</t>
  </si>
  <si>
    <t>30/06/2006</t>
  </si>
  <si>
    <t>Net loss for the period</t>
  </si>
  <si>
    <t>At 1 July 2005</t>
  </si>
  <si>
    <t>FY 2005/06</t>
  </si>
  <si>
    <t>FTSS</t>
  </si>
  <si>
    <t>Profit/(Loss) for the period</t>
  </si>
  <si>
    <t xml:space="preserve">Profit/(loss) attributable to the ordinary equity shareholders of the parent </t>
  </si>
  <si>
    <t>Proposed/Declared dividend per share (sen)</t>
  </si>
  <si>
    <t>Interest income</t>
  </si>
  <si>
    <t>FCW HOLDINGS BERHAD</t>
  </si>
  <si>
    <t>FCWH</t>
  </si>
  <si>
    <t>Current</t>
  </si>
  <si>
    <t>Company</t>
  </si>
  <si>
    <t>FCW H</t>
  </si>
  <si>
    <t>FCW I</t>
  </si>
  <si>
    <t>FP</t>
  </si>
  <si>
    <t>FFC</t>
  </si>
  <si>
    <t>RM'000</t>
  </si>
  <si>
    <t>FCW Holdings Berhad</t>
  </si>
  <si>
    <t>Total</t>
  </si>
  <si>
    <t>FCW Industries Sdn Bhd</t>
  </si>
  <si>
    <t>Federal Telecommunications Sdn Bhd</t>
  </si>
  <si>
    <t>FT Radiosystems Sdn Bhd</t>
  </si>
  <si>
    <t>FCW Group</t>
  </si>
  <si>
    <t xml:space="preserve">FT 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</si>
</sst>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_(* #,##0.000_);_(* \(#,##0.000\);_(* &quot;-&quot;??_);_(@_)"/>
    <numFmt numFmtId="167" formatCode="_-* #,##0_-;\-* #,##0_-;_-* &quot;-&quot;??_-;_-@_-"/>
    <numFmt numFmtId="168" formatCode="#,##0.0_);\(#,##0.0\)"/>
    <numFmt numFmtId="169" formatCode="#,##0.000_);\(#,##0.000\)"/>
    <numFmt numFmtId="170" formatCode="_(* #,##0.0_);_(* \(#,##0.0\);_(* &quot;-&quot;??_);_(@_)"/>
    <numFmt numFmtId="171" formatCode="[$-409]dddd\,\ mmmm\ dd\,\ yyyy"/>
    <numFmt numFmtId="172" formatCode="[$-409]mmm\-yy;@"/>
    <numFmt numFmtId="173" formatCode="0.0%"/>
    <numFmt numFmtId="174" formatCode="#,##0.0000_);\(#,##0.0000\)"/>
    <numFmt numFmtId="175" formatCode="#,##0.00000_);\(#,##0.00000\)"/>
    <numFmt numFmtId="176" formatCode="_(* #,##0.0000_);_(* \(#,##0.0000\);_(* &quot;-&quot;_);_(@_)"/>
  </numFmts>
  <fonts count="16">
    <font>
      <sz val="10"/>
      <name val="Arial Narrow"/>
      <family val="2"/>
    </font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i/>
      <u val="single"/>
      <sz val="10"/>
      <name val="Arial"/>
      <family val="2"/>
    </font>
    <font>
      <i/>
      <u val="single"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i/>
      <sz val="10"/>
      <name val="Arial Narrow"/>
      <family val="2"/>
    </font>
    <font>
      <sz val="10"/>
      <color indexed="12"/>
      <name val="Arial Narrow"/>
      <family val="2"/>
    </font>
    <font>
      <i/>
      <sz val="10"/>
      <name val="Arial Narrow"/>
      <family val="2"/>
    </font>
    <font>
      <sz val="10"/>
      <color indexed="10"/>
      <name val="Arial Narrow"/>
      <family val="2"/>
    </font>
    <font>
      <sz val="8"/>
      <name val="Arial Narrow"/>
      <family val="2"/>
    </font>
    <font>
      <u val="single"/>
      <sz val="10"/>
      <color indexed="36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7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77">
    <xf numFmtId="0" fontId="0" fillId="0" borderId="0" xfId="0" applyAlignment="1">
      <alignment/>
    </xf>
    <xf numFmtId="39" fontId="2" fillId="0" borderId="0" xfId="0" applyNumberFormat="1" applyFont="1" applyAlignment="1">
      <alignment/>
    </xf>
    <xf numFmtId="165" fontId="0" fillId="0" borderId="0" xfId="15" applyNumberFormat="1" applyAlignment="1">
      <alignment/>
    </xf>
    <xf numFmtId="165" fontId="0" fillId="0" borderId="3" xfId="15" applyNumberFormat="1" applyBorder="1" applyAlignment="1">
      <alignment/>
    </xf>
    <xf numFmtId="165" fontId="0" fillId="0" borderId="4" xfId="15" applyNumberFormat="1" applyBorder="1" applyAlignment="1">
      <alignment/>
    </xf>
    <xf numFmtId="165" fontId="0" fillId="0" borderId="0" xfId="0" applyNumberFormat="1" applyAlignment="1">
      <alignment/>
    </xf>
    <xf numFmtId="165" fontId="0" fillId="0" borderId="4" xfId="0" applyNumberForma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5" fontId="0" fillId="0" borderId="0" xfId="15" applyNumberFormat="1" applyFont="1" applyAlignment="1">
      <alignment/>
    </xf>
    <xf numFmtId="165" fontId="0" fillId="0" borderId="0" xfId="15" applyNumberFormat="1" applyFont="1" applyAlignment="1">
      <alignment horizontal="center"/>
    </xf>
    <xf numFmtId="0" fontId="4" fillId="0" borderId="0" xfId="0" applyFont="1" applyAlignment="1">
      <alignment/>
    </xf>
    <xf numFmtId="165" fontId="0" fillId="0" borderId="0" xfId="15" applyNumberFormat="1" applyAlignment="1">
      <alignment horizontal="center"/>
    </xf>
    <xf numFmtId="165" fontId="0" fillId="0" borderId="0" xfId="0" applyNumberFormat="1" applyBorder="1" applyAlignment="1">
      <alignment/>
    </xf>
    <xf numFmtId="165" fontId="0" fillId="0" borderId="0" xfId="15" applyNumberFormat="1" applyBorder="1" applyAlignment="1">
      <alignment/>
    </xf>
    <xf numFmtId="0" fontId="0" fillId="0" borderId="0" xfId="0" applyAlignment="1">
      <alignment horizontal="center"/>
    </xf>
    <xf numFmtId="165" fontId="2" fillId="0" borderId="0" xfId="15" applyNumberFormat="1" applyFont="1" applyAlignment="1">
      <alignment horizontal="center"/>
    </xf>
    <xf numFmtId="0" fontId="0" fillId="0" borderId="0" xfId="0" applyAlignment="1">
      <alignment horizontal="left"/>
    </xf>
    <xf numFmtId="0" fontId="5" fillId="0" borderId="0" xfId="0" applyFont="1" applyAlignment="1">
      <alignment/>
    </xf>
    <xf numFmtId="165" fontId="0" fillId="0" borderId="3" xfId="0" applyNumberFormat="1" applyBorder="1" applyAlignment="1">
      <alignment/>
    </xf>
    <xf numFmtId="0" fontId="2" fillId="0" borderId="0" xfId="0" applyFont="1" applyAlignment="1">
      <alignment horizontal="center"/>
    </xf>
    <xf numFmtId="43" fontId="0" fillId="0" borderId="0" xfId="15" applyAlignment="1">
      <alignment/>
    </xf>
    <xf numFmtId="43" fontId="0" fillId="0" borderId="3" xfId="15" applyBorder="1" applyAlignment="1">
      <alignment/>
    </xf>
    <xf numFmtId="165" fontId="0" fillId="0" borderId="5" xfId="15" applyNumberFormat="1" applyBorder="1" applyAlignment="1">
      <alignment/>
    </xf>
    <xf numFmtId="165" fontId="0" fillId="0" borderId="6" xfId="15" applyNumberFormat="1" applyBorder="1" applyAlignment="1">
      <alignment/>
    </xf>
    <xf numFmtId="1" fontId="0" fillId="0" borderId="0" xfId="15" applyNumberFormat="1" applyAlignment="1">
      <alignment horizontal="center"/>
    </xf>
    <xf numFmtId="0" fontId="0" fillId="0" borderId="0" xfId="0" applyAlignment="1" quotePrefix="1">
      <alignment/>
    </xf>
    <xf numFmtId="165" fontId="0" fillId="0" borderId="3" xfId="15" applyNumberFormat="1" applyBorder="1" applyAlignment="1">
      <alignment horizontal="center"/>
    </xf>
    <xf numFmtId="0" fontId="0" fillId="0" borderId="4" xfId="0" applyBorder="1" applyAlignment="1">
      <alignment/>
    </xf>
    <xf numFmtId="165" fontId="0" fillId="0" borderId="7" xfId="15" applyNumberFormat="1" applyBorder="1" applyAlignment="1">
      <alignment/>
    </xf>
    <xf numFmtId="165" fontId="0" fillId="0" borderId="8" xfId="15" applyNumberFormat="1" applyBorder="1" applyAlignment="1">
      <alignment/>
    </xf>
    <xf numFmtId="165" fontId="0" fillId="0" borderId="4" xfId="15" applyNumberFormat="1" applyFont="1" applyBorder="1" applyAlignment="1">
      <alignment/>
    </xf>
    <xf numFmtId="165" fontId="0" fillId="0" borderId="5" xfId="15" applyNumberFormat="1" applyBorder="1" applyAlignment="1">
      <alignment horizontal="center"/>
    </xf>
    <xf numFmtId="165" fontId="0" fillId="0" borderId="9" xfId="15" applyNumberFormat="1" applyBorder="1" applyAlignment="1">
      <alignment horizontal="center"/>
    </xf>
    <xf numFmtId="165" fontId="0" fillId="0" borderId="7" xfId="15" applyNumberFormat="1" applyBorder="1" applyAlignment="1">
      <alignment horizontal="center"/>
    </xf>
    <xf numFmtId="165" fontId="0" fillId="0" borderId="6" xfId="15" applyNumberFormat="1" applyBorder="1" applyAlignment="1">
      <alignment horizontal="center"/>
    </xf>
    <xf numFmtId="165" fontId="0" fillId="0" borderId="0" xfId="15" applyNumberFormat="1" applyFont="1" applyAlignment="1">
      <alignment horizontal="center" wrapText="1"/>
    </xf>
    <xf numFmtId="165" fontId="0" fillId="0" borderId="0" xfId="15" applyNumberFormat="1" applyAlignment="1">
      <alignment horizontal="center" wrapText="1"/>
    </xf>
    <xf numFmtId="165" fontId="0" fillId="0" borderId="10" xfId="15" applyNumberFormat="1" applyBorder="1" applyAlignment="1">
      <alignment horizontal="center"/>
    </xf>
    <xf numFmtId="10" fontId="0" fillId="0" borderId="0" xfId="0" applyNumberFormat="1" applyAlignment="1">
      <alignment horizontal="center"/>
    </xf>
    <xf numFmtId="0" fontId="0" fillId="0" borderId="0" xfId="0" applyAlignment="1">
      <alignment wrapText="1"/>
    </xf>
    <xf numFmtId="165" fontId="0" fillId="0" borderId="7" xfId="0" applyNumberFormat="1" applyBorder="1" applyAlignment="1">
      <alignment/>
    </xf>
    <xf numFmtId="43" fontId="0" fillId="0" borderId="0" xfId="0" applyNumberFormat="1" applyAlignment="1">
      <alignment/>
    </xf>
    <xf numFmtId="43" fontId="2" fillId="0" borderId="0" xfId="15" applyFont="1" applyAlignment="1">
      <alignment horizontal="center"/>
    </xf>
    <xf numFmtId="0" fontId="2" fillId="0" borderId="0" xfId="0" applyFont="1" applyAlignment="1" quotePrefix="1">
      <alignment horizontal="center"/>
    </xf>
    <xf numFmtId="165" fontId="1" fillId="0" borderId="0" xfId="15" applyNumberFormat="1" applyFont="1" applyBorder="1" applyAlignment="1">
      <alignment/>
    </xf>
    <xf numFmtId="0" fontId="0" fillId="0" borderId="0" xfId="0" applyFill="1" applyBorder="1" applyAlignment="1">
      <alignment/>
    </xf>
    <xf numFmtId="165" fontId="0" fillId="0" borderId="11" xfId="15" applyNumberFormat="1" applyBorder="1" applyAlignment="1">
      <alignment/>
    </xf>
    <xf numFmtId="10" fontId="0" fillId="0" borderId="0" xfId="23" applyNumberFormat="1" applyAlignment="1">
      <alignment/>
    </xf>
    <xf numFmtId="165" fontId="2" fillId="0" borderId="3" xfId="15" applyNumberFormat="1" applyFont="1" applyBorder="1" applyAlignment="1">
      <alignment/>
    </xf>
    <xf numFmtId="165" fontId="0" fillId="0" borderId="10" xfId="15" applyNumberFormat="1" applyBorder="1" applyAlignment="1">
      <alignment/>
    </xf>
    <xf numFmtId="167" fontId="0" fillId="0" borderId="0" xfId="0" applyNumberFormat="1" applyAlignment="1">
      <alignment/>
    </xf>
    <xf numFmtId="167" fontId="2" fillId="0" borderId="3" xfId="0" applyNumberFormat="1" applyFont="1" applyBorder="1" applyAlignment="1">
      <alignment/>
    </xf>
    <xf numFmtId="164" fontId="0" fillId="0" borderId="0" xfId="0" applyNumberFormat="1" applyAlignment="1">
      <alignment/>
    </xf>
    <xf numFmtId="165" fontId="0" fillId="2" borderId="12" xfId="15" applyNumberFormat="1" applyFill="1" applyBorder="1" applyAlignment="1">
      <alignment horizontal="center"/>
    </xf>
    <xf numFmtId="0" fontId="0" fillId="2" borderId="13" xfId="0" applyFill="1" applyBorder="1" applyAlignment="1">
      <alignment/>
    </xf>
    <xf numFmtId="165" fontId="0" fillId="2" borderId="13" xfId="15" applyNumberFormat="1" applyFill="1" applyBorder="1" applyAlignment="1">
      <alignment horizontal="center"/>
    </xf>
    <xf numFmtId="165" fontId="0" fillId="2" borderId="13" xfId="15" applyNumberFormat="1" applyFill="1" applyBorder="1" applyAlignment="1">
      <alignment/>
    </xf>
    <xf numFmtId="165" fontId="0" fillId="2" borderId="14" xfId="0" applyNumberFormat="1" applyFill="1" applyBorder="1" applyAlignment="1">
      <alignment/>
    </xf>
    <xf numFmtId="165" fontId="0" fillId="2" borderId="15" xfId="15" applyNumberFormat="1" applyFill="1" applyBorder="1" applyAlignment="1">
      <alignment horizontal="center"/>
    </xf>
    <xf numFmtId="0" fontId="0" fillId="2" borderId="0" xfId="0" applyFill="1" applyBorder="1" applyAlignment="1">
      <alignment/>
    </xf>
    <xf numFmtId="165" fontId="0" fillId="2" borderId="0" xfId="15" applyNumberFormat="1" applyFill="1" applyBorder="1" applyAlignment="1">
      <alignment horizontal="center"/>
    </xf>
    <xf numFmtId="165" fontId="0" fillId="2" borderId="0" xfId="15" applyNumberFormat="1" applyFill="1" applyBorder="1" applyAlignment="1">
      <alignment/>
    </xf>
    <xf numFmtId="165" fontId="0" fillId="2" borderId="16" xfId="0" applyNumberFormat="1" applyFill="1" applyBorder="1" applyAlignment="1">
      <alignment/>
    </xf>
    <xf numFmtId="165" fontId="0" fillId="2" borderId="17" xfId="15" applyNumberFormat="1" applyFill="1" applyBorder="1" applyAlignment="1">
      <alignment horizontal="center"/>
    </xf>
    <xf numFmtId="0" fontId="0" fillId="2" borderId="4" xfId="0" applyFill="1" applyBorder="1" applyAlignment="1">
      <alignment/>
    </xf>
    <xf numFmtId="165" fontId="0" fillId="2" borderId="4" xfId="15" applyNumberFormat="1" applyFill="1" applyBorder="1" applyAlignment="1">
      <alignment/>
    </xf>
    <xf numFmtId="165" fontId="0" fillId="2" borderId="18" xfId="0" applyNumberFormat="1" applyFill="1" applyBorder="1" applyAlignment="1">
      <alignment/>
    </xf>
    <xf numFmtId="43" fontId="0" fillId="0" borderId="4" xfId="15" applyBorder="1" applyAlignment="1">
      <alignment/>
    </xf>
    <xf numFmtId="43" fontId="2" fillId="0" borderId="8" xfId="15" applyFont="1" applyBorder="1" applyAlignment="1">
      <alignment/>
    </xf>
    <xf numFmtId="37" fontId="0" fillId="0" borderId="0" xfId="15" applyNumberFormat="1" applyFont="1" applyAlignment="1">
      <alignment/>
    </xf>
    <xf numFmtId="39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37" fontId="0" fillId="0" borderId="0" xfId="0" applyNumberFormat="1" applyFont="1" applyAlignment="1">
      <alignment/>
    </xf>
    <xf numFmtId="37" fontId="8" fillId="0" borderId="0" xfId="0" applyNumberFormat="1" applyFont="1" applyAlignment="1">
      <alignment/>
    </xf>
    <xf numFmtId="37" fontId="8" fillId="0" borderId="0" xfId="0" applyNumberFormat="1" applyFont="1" applyAlignment="1">
      <alignment horizontal="center"/>
    </xf>
    <xf numFmtId="37" fontId="0" fillId="0" borderId="0" xfId="0" applyNumberFormat="1" applyFont="1" applyAlignment="1">
      <alignment/>
    </xf>
    <xf numFmtId="37" fontId="9" fillId="0" borderId="0" xfId="0" applyNumberFormat="1" applyFont="1" applyAlignment="1">
      <alignment/>
    </xf>
    <xf numFmtId="37" fontId="0" fillId="0" borderId="0" xfId="0" applyNumberFormat="1" applyFont="1" applyAlignment="1">
      <alignment/>
    </xf>
    <xf numFmtId="37" fontId="8" fillId="0" borderId="0" xfId="0" applyNumberFormat="1" applyFont="1" applyFill="1" applyAlignment="1">
      <alignment/>
    </xf>
    <xf numFmtId="37" fontId="0" fillId="0" borderId="0" xfId="0" applyNumberFormat="1" applyFont="1" applyAlignment="1">
      <alignment horizontal="center"/>
    </xf>
    <xf numFmtId="37" fontId="0" fillId="0" borderId="0" xfId="0" applyNumberFormat="1" applyFont="1" applyAlignment="1" quotePrefix="1">
      <alignment horizontal="center"/>
    </xf>
    <xf numFmtId="37" fontId="0" fillId="0" borderId="0" xfId="15" applyNumberFormat="1" applyFont="1" applyAlignment="1">
      <alignment horizontal="center"/>
    </xf>
    <xf numFmtId="37" fontId="11" fillId="0" borderId="0" xfId="15" applyNumberFormat="1" applyFont="1" applyAlignment="1">
      <alignment/>
    </xf>
    <xf numFmtId="37" fontId="0" fillId="0" borderId="0" xfId="15" applyNumberFormat="1" applyFont="1" applyAlignment="1">
      <alignment/>
    </xf>
    <xf numFmtId="37" fontId="0" fillId="0" borderId="0" xfId="0" applyNumberFormat="1" applyFont="1" applyAlignment="1">
      <alignment/>
    </xf>
    <xf numFmtId="37" fontId="0" fillId="0" borderId="4" xfId="15" applyNumberFormat="1" applyFont="1" applyBorder="1" applyAlignment="1">
      <alignment/>
    </xf>
    <xf numFmtId="37" fontId="0" fillId="0" borderId="3" xfId="15" applyNumberFormat="1" applyFont="1" applyBorder="1" applyAlignment="1">
      <alignment/>
    </xf>
    <xf numFmtId="37" fontId="10" fillId="0" borderId="0" xfId="0" applyNumberFormat="1" applyFont="1" applyAlignment="1">
      <alignment/>
    </xf>
    <xf numFmtId="37" fontId="0" fillId="0" borderId="0" xfId="15" applyNumberFormat="1" applyFont="1" applyAlignment="1">
      <alignment/>
    </xf>
    <xf numFmtId="37" fontId="12" fillId="0" borderId="0" xfId="0" applyNumberFormat="1" applyFont="1" applyFill="1" applyBorder="1" applyAlignment="1">
      <alignment/>
    </xf>
    <xf numFmtId="37" fontId="0" fillId="0" borderId="0" xfId="15" applyNumberFormat="1" applyFont="1" applyFill="1" applyBorder="1" applyAlignment="1">
      <alignment/>
    </xf>
    <xf numFmtId="37" fontId="0" fillId="0" borderId="0" xfId="0" applyNumberFormat="1" applyFont="1" applyAlignment="1">
      <alignment/>
    </xf>
    <xf numFmtId="37" fontId="0" fillId="0" borderId="0" xfId="15" applyNumberFormat="1" applyFont="1" applyAlignment="1">
      <alignment/>
    </xf>
    <xf numFmtId="37" fontId="10" fillId="0" borderId="0" xfId="0" applyNumberFormat="1" applyFont="1" applyFill="1" applyAlignment="1">
      <alignment/>
    </xf>
    <xf numFmtId="37" fontId="0" fillId="0" borderId="0" xfId="0" applyNumberFormat="1" applyFont="1" applyFill="1" applyAlignment="1">
      <alignment/>
    </xf>
    <xf numFmtId="37" fontId="0" fillId="0" borderId="0" xfId="15" applyNumberFormat="1" applyFont="1" applyFill="1" applyAlignment="1">
      <alignment/>
    </xf>
    <xf numFmtId="39" fontId="0" fillId="0" borderId="0" xfId="15" applyNumberFormat="1" applyFont="1" applyFill="1" applyAlignment="1">
      <alignment/>
    </xf>
    <xf numFmtId="39" fontId="0" fillId="0" borderId="0" xfId="15" applyNumberFormat="1" applyFont="1" applyFill="1" applyAlignment="1">
      <alignment/>
    </xf>
    <xf numFmtId="37" fontId="0" fillId="0" borderId="7" xfId="0" applyNumberFormat="1" applyFont="1" applyBorder="1" applyAlignment="1">
      <alignment/>
    </xf>
    <xf numFmtId="37" fontId="8" fillId="0" borderId="7" xfId="0" applyNumberFormat="1" applyFont="1" applyBorder="1" applyAlignment="1">
      <alignment horizontal="center"/>
    </xf>
    <xf numFmtId="37" fontId="0" fillId="0" borderId="7" xfId="0" applyNumberFormat="1" applyFont="1" applyBorder="1" applyAlignment="1">
      <alignment horizontal="center"/>
    </xf>
    <xf numFmtId="37" fontId="8" fillId="0" borderId="7" xfId="0" applyNumberFormat="1" applyFont="1" applyBorder="1" applyAlignment="1">
      <alignment horizontal="center" wrapText="1"/>
    </xf>
    <xf numFmtId="37" fontId="8" fillId="0" borderId="7" xfId="0" applyNumberFormat="1" applyFont="1" applyFill="1" applyBorder="1" applyAlignment="1" quotePrefix="1">
      <alignment horizontal="center"/>
    </xf>
    <xf numFmtId="37" fontId="0" fillId="0" borderId="7" xfId="15" applyNumberFormat="1" applyFont="1" applyBorder="1" applyAlignment="1">
      <alignment/>
    </xf>
    <xf numFmtId="37" fontId="8" fillId="0" borderId="7" xfId="15" applyNumberFormat="1" applyFont="1" applyBorder="1" applyAlignment="1">
      <alignment horizontal="center" wrapText="1"/>
    </xf>
    <xf numFmtId="37" fontId="8" fillId="0" borderId="0" xfId="15" applyNumberFormat="1" applyFont="1" applyAlignment="1">
      <alignment horizontal="center"/>
    </xf>
    <xf numFmtId="37" fontId="8" fillId="0" borderId="7" xfId="0" applyNumberFormat="1" applyFont="1" applyBorder="1" applyAlignment="1" quotePrefix="1">
      <alignment horizontal="center"/>
    </xf>
    <xf numFmtId="39" fontId="0" fillId="0" borderId="7" xfId="0" applyNumberFormat="1" applyFont="1" applyBorder="1" applyAlignment="1">
      <alignment/>
    </xf>
    <xf numFmtId="39" fontId="0" fillId="0" borderId="7" xfId="15" applyNumberFormat="1" applyFont="1" applyBorder="1" applyAlignment="1">
      <alignment/>
    </xf>
    <xf numFmtId="16" fontId="0" fillId="0" borderId="0" xfId="0" applyNumberFormat="1" applyFont="1" applyAlignment="1" quotePrefix="1">
      <alignment horizontal="center"/>
    </xf>
    <xf numFmtId="16" fontId="0" fillId="0" borderId="0" xfId="0" applyNumberFormat="1" applyFont="1" applyAlignment="1">
      <alignment/>
    </xf>
    <xf numFmtId="37" fontId="0" fillId="0" borderId="2" xfId="15" applyNumberFormat="1" applyFont="1" applyBorder="1" applyAlignment="1">
      <alignment/>
    </xf>
    <xf numFmtId="37" fontId="0" fillId="0" borderId="3" xfId="15" applyNumberFormat="1" applyFont="1" applyBorder="1" applyAlignment="1">
      <alignment/>
    </xf>
    <xf numFmtId="37" fontId="0" fillId="0" borderId="4" xfId="15" applyNumberFormat="1" applyFont="1" applyBorder="1" applyAlignment="1">
      <alignment/>
    </xf>
    <xf numFmtId="37" fontId="0" fillId="0" borderId="0" xfId="0" applyNumberFormat="1" applyFont="1" applyAlignment="1">
      <alignment horizontal="center"/>
    </xf>
    <xf numFmtId="37" fontId="0" fillId="0" borderId="4" xfId="0" applyNumberFormat="1" applyFont="1" applyBorder="1" applyAlignment="1" quotePrefix="1">
      <alignment/>
    </xf>
    <xf numFmtId="37" fontId="0" fillId="0" borderId="3" xfId="15" applyNumberFormat="1" applyFont="1" applyBorder="1" applyAlignment="1">
      <alignment/>
    </xf>
    <xf numFmtId="37" fontId="11" fillId="0" borderId="0" xfId="15" applyNumberFormat="1" applyFont="1" applyBorder="1" applyAlignment="1">
      <alignment/>
    </xf>
    <xf numFmtId="37" fontId="0" fillId="0" borderId="0" xfId="15" applyNumberFormat="1" applyFont="1" applyBorder="1" applyAlignment="1">
      <alignment/>
    </xf>
    <xf numFmtId="37" fontId="11" fillId="0" borderId="4" xfId="15" applyNumberFormat="1" applyFont="1" applyBorder="1" applyAlignment="1">
      <alignment/>
    </xf>
    <xf numFmtId="37" fontId="13" fillId="0" borderId="0" xfId="0" applyNumberFormat="1" applyFont="1" applyAlignment="1">
      <alignment horizontal="center"/>
    </xf>
    <xf numFmtId="37" fontId="0" fillId="0" borderId="4" xfId="0" applyNumberFormat="1" applyFont="1" applyBorder="1" applyAlignment="1">
      <alignment/>
    </xf>
    <xf numFmtId="37" fontId="0" fillId="0" borderId="0" xfId="15" applyNumberFormat="1" applyFont="1" applyBorder="1" applyAlignment="1">
      <alignment/>
    </xf>
    <xf numFmtId="37" fontId="0" fillId="0" borderId="0" xfId="15" applyNumberFormat="1" applyFont="1" applyFill="1" applyAlignment="1">
      <alignment/>
    </xf>
    <xf numFmtId="37" fontId="0" fillId="0" borderId="0" xfId="15" applyNumberFormat="1" applyFont="1" applyFill="1" applyBorder="1" applyAlignment="1">
      <alignment/>
    </xf>
    <xf numFmtId="37" fontId="11" fillId="0" borderId="4" xfId="15" applyNumberFormat="1" applyFont="1" applyFill="1" applyBorder="1" applyAlignment="1">
      <alignment/>
    </xf>
    <xf numFmtId="37" fontId="11" fillId="0" borderId="0" xfId="15" applyNumberFormat="1" applyFont="1" applyFill="1" applyAlignment="1">
      <alignment/>
    </xf>
    <xf numFmtId="37" fontId="0" fillId="0" borderId="0" xfId="15" applyNumberFormat="1" applyFont="1" applyFill="1" applyAlignment="1">
      <alignment/>
    </xf>
    <xf numFmtId="37" fontId="11" fillId="0" borderId="0" xfId="15" applyNumberFormat="1" applyFont="1" applyFill="1" applyBorder="1" applyAlignment="1">
      <alignment/>
    </xf>
    <xf numFmtId="37" fontId="0" fillId="0" borderId="3" xfId="15" applyNumberFormat="1" applyFont="1" applyFill="1" applyBorder="1" applyAlignment="1">
      <alignment/>
    </xf>
    <xf numFmtId="37" fontId="0" fillId="0" borderId="0" xfId="15" applyNumberFormat="1" applyFont="1" applyAlignment="1">
      <alignment/>
    </xf>
    <xf numFmtId="37" fontId="0" fillId="0" borderId="0" xfId="15" applyNumberFormat="1" applyFont="1" applyBorder="1" applyAlignment="1">
      <alignment/>
    </xf>
    <xf numFmtId="37" fontId="0" fillId="0" borderId="0" xfId="15" applyNumberFormat="1" applyFont="1" applyAlignment="1">
      <alignment/>
    </xf>
    <xf numFmtId="37" fontId="0" fillId="0" borderId="0" xfId="15" applyNumberFormat="1" applyFont="1" applyBorder="1" applyAlignment="1">
      <alignment/>
    </xf>
    <xf numFmtId="37" fontId="0" fillId="0" borderId="0" xfId="15" applyNumberFormat="1" applyFont="1" applyBorder="1" applyAlignment="1">
      <alignment horizontal="center"/>
    </xf>
    <xf numFmtId="37" fontId="0" fillId="0" borderId="0" xfId="0" applyNumberFormat="1" applyFont="1" applyBorder="1" applyAlignment="1">
      <alignment/>
    </xf>
    <xf numFmtId="39" fontId="0" fillId="0" borderId="7" xfId="15" applyNumberFormat="1" applyFont="1" applyFill="1" applyBorder="1" applyAlignment="1">
      <alignment/>
    </xf>
    <xf numFmtId="16" fontId="0" fillId="0" borderId="0" xfId="0" applyNumberFormat="1" applyFont="1" applyAlignment="1">
      <alignment horizontal="center"/>
    </xf>
    <xf numFmtId="43" fontId="0" fillId="0" borderId="0" xfId="15" applyFont="1" applyAlignment="1">
      <alignment horizontal="center"/>
    </xf>
    <xf numFmtId="39" fontId="0" fillId="0" borderId="0" xfId="0" applyNumberFormat="1" applyFont="1" applyAlignment="1" quotePrefix="1">
      <alignment/>
    </xf>
    <xf numFmtId="43" fontId="0" fillId="0" borderId="0" xfId="15" applyFont="1" applyFill="1" applyAlignment="1">
      <alignment horizontal="right"/>
    </xf>
    <xf numFmtId="37" fontId="0" fillId="0" borderId="0" xfId="0" applyNumberFormat="1" applyFont="1" applyAlignment="1" quotePrefix="1">
      <alignment/>
    </xf>
    <xf numFmtId="37" fontId="13" fillId="0" borderId="0" xfId="0" applyNumberFormat="1" applyFont="1" applyAlignment="1">
      <alignment/>
    </xf>
    <xf numFmtId="37" fontId="13" fillId="0" borderId="0" xfId="0" applyNumberFormat="1" applyFont="1" applyAlignment="1" quotePrefix="1">
      <alignment/>
    </xf>
    <xf numFmtId="37" fontId="13" fillId="0" borderId="4" xfId="0" applyNumberFormat="1" applyFont="1" applyBorder="1" applyAlignment="1">
      <alignment/>
    </xf>
    <xf numFmtId="37" fontId="13" fillId="0" borderId="0" xfId="15" applyNumberFormat="1" applyFont="1" applyAlignment="1">
      <alignment/>
    </xf>
    <xf numFmtId="37" fontId="13" fillId="0" borderId="0" xfId="0" applyNumberFormat="1" applyFont="1" applyBorder="1" applyAlignment="1">
      <alignment/>
    </xf>
    <xf numFmtId="37" fontId="13" fillId="0" borderId="2" xfId="15" applyNumberFormat="1" applyFont="1" applyBorder="1" applyAlignment="1">
      <alignment/>
    </xf>
    <xf numFmtId="37" fontId="0" fillId="0" borderId="4" xfId="15" applyNumberFormat="1" applyFont="1" applyFill="1" applyBorder="1" applyAlignment="1">
      <alignment/>
    </xf>
    <xf numFmtId="37" fontId="0" fillId="0" borderId="7" xfId="15" applyNumberFormat="1" applyFont="1" applyFill="1" applyBorder="1" applyAlignment="1">
      <alignment/>
    </xf>
    <xf numFmtId="37" fontId="0" fillId="0" borderId="3" xfId="15" applyNumberFormat="1" applyFont="1" applyFill="1" applyBorder="1" applyAlignment="1">
      <alignment/>
    </xf>
    <xf numFmtId="37" fontId="0" fillId="0" borderId="0" xfId="0" applyNumberFormat="1" applyFont="1" applyFill="1" applyAlignment="1" quotePrefix="1">
      <alignment horizontal="center"/>
    </xf>
    <xf numFmtId="37" fontId="0" fillId="3" borderId="0" xfId="15" applyNumberFormat="1" applyFont="1" applyFill="1" applyAlignment="1">
      <alignment/>
    </xf>
    <xf numFmtId="37" fontId="0" fillId="3" borderId="0" xfId="0" applyNumberFormat="1" applyFont="1" applyFill="1" applyAlignment="1">
      <alignment/>
    </xf>
    <xf numFmtId="37" fontId="0" fillId="3" borderId="4" xfId="15" applyNumberFormat="1" applyFont="1" applyFill="1" applyBorder="1" applyAlignment="1">
      <alignment/>
    </xf>
    <xf numFmtId="37" fontId="0" fillId="3" borderId="4" xfId="0" applyNumberFormat="1" applyFont="1" applyFill="1" applyBorder="1" applyAlignment="1">
      <alignment/>
    </xf>
    <xf numFmtId="37" fontId="0" fillId="3" borderId="2" xfId="15" applyNumberFormat="1" applyFont="1" applyFill="1" applyBorder="1" applyAlignment="1">
      <alignment/>
    </xf>
    <xf numFmtId="37" fontId="0" fillId="0" borderId="0" xfId="15" applyNumberFormat="1" applyFont="1" applyFill="1" applyAlignment="1">
      <alignment/>
    </xf>
    <xf numFmtId="37" fontId="0" fillId="0" borderId="2" xfId="15" applyNumberFormat="1" applyFont="1" applyFill="1" applyBorder="1" applyAlignment="1">
      <alignment/>
    </xf>
    <xf numFmtId="37" fontId="11" fillId="0" borderId="7" xfId="15" applyNumberFormat="1" applyFont="1" applyFill="1" applyBorder="1" applyAlignment="1">
      <alignment/>
    </xf>
    <xf numFmtId="37" fontId="0" fillId="0" borderId="7" xfId="0" applyNumberFormat="1" applyFont="1" applyBorder="1" applyAlignment="1">
      <alignment wrapText="1"/>
    </xf>
    <xf numFmtId="37" fontId="0" fillId="0" borderId="7" xfId="0" applyNumberFormat="1" applyFont="1" applyBorder="1" applyAlignment="1">
      <alignment vertical="top"/>
    </xf>
    <xf numFmtId="37" fontId="0" fillId="0" borderId="0" xfId="15" applyNumberFormat="1" applyFont="1" applyAlignment="1" quotePrefix="1">
      <alignment/>
    </xf>
    <xf numFmtId="39" fontId="11" fillId="0" borderId="7" xfId="15" applyNumberFormat="1" applyFont="1" applyBorder="1" applyAlignment="1">
      <alignment/>
    </xf>
    <xf numFmtId="37" fontId="0" fillId="0" borderId="0" xfId="0" applyNumberFormat="1" applyFont="1" applyFill="1" applyAlignment="1">
      <alignment/>
    </xf>
    <xf numFmtId="37" fontId="0" fillId="0" borderId="10" xfId="15" applyNumberFormat="1" applyFont="1" applyBorder="1" applyAlignment="1">
      <alignment/>
    </xf>
    <xf numFmtId="37" fontId="0" fillId="0" borderId="10" xfId="15" applyNumberFormat="1" applyFont="1" applyFill="1" applyBorder="1" applyAlignment="1">
      <alignment/>
    </xf>
    <xf numFmtId="37" fontId="0" fillId="0" borderId="0" xfId="15" applyNumberFormat="1" applyFont="1" applyFill="1" applyBorder="1" applyAlignment="1">
      <alignment/>
    </xf>
    <xf numFmtId="37" fontId="0" fillId="0" borderId="10" xfId="15" applyNumberFormat="1" applyFont="1" applyFill="1" applyBorder="1" applyAlignment="1">
      <alignment/>
    </xf>
    <xf numFmtId="37" fontId="0" fillId="0" borderId="19" xfId="0" applyNumberFormat="1" applyFont="1" applyBorder="1" applyAlignment="1">
      <alignment/>
    </xf>
    <xf numFmtId="37" fontId="12" fillId="0" borderId="2" xfId="0" applyNumberFormat="1" applyFont="1" applyBorder="1" applyAlignment="1">
      <alignment/>
    </xf>
    <xf numFmtId="37" fontId="12" fillId="0" borderId="2" xfId="0" applyNumberFormat="1" applyFont="1" applyBorder="1" applyAlignment="1">
      <alignment horizontal="center"/>
    </xf>
    <xf numFmtId="37" fontId="0" fillId="0" borderId="20" xfId="0" applyNumberFormat="1" applyFont="1" applyBorder="1" applyAlignment="1">
      <alignment/>
    </xf>
    <xf numFmtId="37" fontId="8" fillId="0" borderId="7" xfId="0" applyNumberFormat="1" applyFont="1" applyBorder="1" applyAlignment="1">
      <alignment horizontal="center"/>
    </xf>
    <xf numFmtId="37" fontId="10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eader1" xfId="20"/>
    <cellStyle name="Header2" xfId="21"/>
    <cellStyle name="Hyperlink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14</xdr:row>
      <xdr:rowOff>95250</xdr:rowOff>
    </xdr:from>
    <xdr:to>
      <xdr:col>8</xdr:col>
      <xdr:colOff>0</xdr:colOff>
      <xdr:row>14</xdr:row>
      <xdr:rowOff>95250</xdr:rowOff>
    </xdr:to>
    <xdr:sp>
      <xdr:nvSpPr>
        <xdr:cNvPr id="1" name="Line 2"/>
        <xdr:cNvSpPr>
          <a:spLocks/>
        </xdr:cNvSpPr>
      </xdr:nvSpPr>
      <xdr:spPr>
        <a:xfrm flipH="1">
          <a:off x="6172200" y="2695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1"/>
  <sheetViews>
    <sheetView workbookViewId="0" topLeftCell="A1">
      <selection activeCell="D31" sqref="D31"/>
    </sheetView>
  </sheetViews>
  <sheetFormatPr defaultColWidth="9.33203125" defaultRowHeight="12.75"/>
  <cols>
    <col min="1" max="1" width="2.33203125" style="0" customWidth="1"/>
    <col min="2" max="2" width="2.83203125" style="0" customWidth="1"/>
    <col min="3" max="3" width="71.16015625" style="0" customWidth="1"/>
    <col min="4" max="5" width="9.33203125" style="2" customWidth="1"/>
  </cols>
  <sheetData>
    <row r="1" ht="12.75">
      <c r="A1" s="7" t="s">
        <v>398</v>
      </c>
    </row>
    <row r="3" ht="12.75">
      <c r="A3" s="7" t="s">
        <v>41</v>
      </c>
    </row>
    <row r="4" spans="4:5" ht="12.75">
      <c r="D4" s="25">
        <v>2002</v>
      </c>
      <c r="E4" s="25">
        <v>2001</v>
      </c>
    </row>
    <row r="6" ht="12.75">
      <c r="A6" s="7" t="s">
        <v>42</v>
      </c>
    </row>
    <row r="7" spans="2:5" ht="12.75">
      <c r="B7" t="s">
        <v>43</v>
      </c>
      <c r="D7" s="2">
        <v>-765</v>
      </c>
      <c r="E7" s="2">
        <v>-1852</v>
      </c>
    </row>
    <row r="8" ht="12.75">
      <c r="B8" t="s">
        <v>44</v>
      </c>
    </row>
    <row r="9" spans="3:5" ht="12.75">
      <c r="C9" t="s">
        <v>371</v>
      </c>
      <c r="D9" s="2">
        <v>3</v>
      </c>
      <c r="E9" s="2">
        <v>6</v>
      </c>
    </row>
    <row r="10" spans="3:5" ht="12.75">
      <c r="C10" t="s">
        <v>1</v>
      </c>
      <c r="D10" s="2">
        <v>327</v>
      </c>
      <c r="E10" s="2">
        <v>1147</v>
      </c>
    </row>
    <row r="11" spans="3:5" ht="12.75">
      <c r="C11" t="s">
        <v>388</v>
      </c>
      <c r="D11" s="4">
        <v>-26</v>
      </c>
      <c r="E11" s="4">
        <v>-411</v>
      </c>
    </row>
    <row r="12" spans="2:5" ht="12.75">
      <c r="B12" t="s">
        <v>2</v>
      </c>
      <c r="D12" s="2">
        <f>SUM(D7:D11)</f>
        <v>-461</v>
      </c>
      <c r="E12" s="2">
        <f>SUM(E7:E11)</f>
        <v>-1110</v>
      </c>
    </row>
    <row r="13" spans="3:5" ht="12.75">
      <c r="C13" t="s">
        <v>56</v>
      </c>
      <c r="D13" s="2">
        <v>-4</v>
      </c>
      <c r="E13" s="2">
        <v>-7</v>
      </c>
    </row>
    <row r="14" spans="3:5" ht="12.75">
      <c r="C14" t="s">
        <v>57</v>
      </c>
      <c r="D14" s="2">
        <v>-101</v>
      </c>
      <c r="E14" s="2">
        <v>86</v>
      </c>
    </row>
    <row r="15" spans="3:5" ht="12.75">
      <c r="C15" t="s">
        <v>58</v>
      </c>
      <c r="D15" s="4">
        <v>4901</v>
      </c>
      <c r="E15" s="4">
        <v>5872</v>
      </c>
    </row>
    <row r="16" spans="2:5" ht="12.75">
      <c r="B16" t="s">
        <v>3</v>
      </c>
      <c r="D16" s="2">
        <f>SUM(D12:D15)</f>
        <v>4335</v>
      </c>
      <c r="E16" s="2">
        <f>SUM(E12:E15)</f>
        <v>4841</v>
      </c>
    </row>
    <row r="17" spans="3:5" ht="12.75">
      <c r="C17" t="s">
        <v>33</v>
      </c>
      <c r="D17" s="2">
        <v>26</v>
      </c>
      <c r="E17" s="2">
        <v>411</v>
      </c>
    </row>
    <row r="18" spans="3:5" ht="12.75">
      <c r="C18" t="s">
        <v>34</v>
      </c>
      <c r="D18" s="2">
        <v>-327</v>
      </c>
      <c r="E18" s="2">
        <v>-1131</v>
      </c>
    </row>
    <row r="19" spans="2:5" ht="12.75">
      <c r="B19" t="s">
        <v>35</v>
      </c>
      <c r="D19" s="29">
        <f>SUM(D16:D18)</f>
        <v>4034</v>
      </c>
      <c r="E19" s="29">
        <f>SUM(E16:E18)</f>
        <v>4121</v>
      </c>
    </row>
    <row r="21" ht="12.75">
      <c r="A21" s="7" t="s">
        <v>45</v>
      </c>
    </row>
    <row r="22" spans="2:5" ht="12.75">
      <c r="B22" t="s">
        <v>46</v>
      </c>
      <c r="D22" s="4">
        <v>0</v>
      </c>
      <c r="E22" s="4">
        <v>-12</v>
      </c>
    </row>
    <row r="24" ht="12.75">
      <c r="A24" s="7" t="s">
        <v>51</v>
      </c>
    </row>
    <row r="25" spans="2:5" ht="12.75">
      <c r="B25" t="s">
        <v>52</v>
      </c>
      <c r="D25" s="31">
        <v>-8128</v>
      </c>
      <c r="E25" s="4">
        <v>0</v>
      </c>
    </row>
    <row r="27" spans="1:5" ht="12.75">
      <c r="A27" t="s">
        <v>53</v>
      </c>
      <c r="D27" s="2">
        <f>+D19+D22+D25</f>
        <v>-4094</v>
      </c>
      <c r="E27" s="2">
        <f>+E19+E22+E25</f>
        <v>4109</v>
      </c>
    </row>
    <row r="29" spans="1:5" ht="12.75">
      <c r="A29" t="s">
        <v>54</v>
      </c>
      <c r="D29" s="2">
        <f>+E31</f>
        <v>4144</v>
      </c>
      <c r="E29" s="2">
        <v>35</v>
      </c>
    </row>
    <row r="30" ht="13.5" thickBot="1"/>
    <row r="31" spans="1:5" ht="13.5" thickBot="1">
      <c r="A31" t="s">
        <v>55</v>
      </c>
      <c r="D31" s="30">
        <f>+D27+D29</f>
        <v>50</v>
      </c>
      <c r="E31" s="30">
        <f>+E27+E29</f>
        <v>4144</v>
      </c>
    </row>
  </sheetData>
  <printOptions gridLines="1"/>
  <pageMargins left="0.5" right="0.25" top="1" bottom="1" header="0.5" footer="0.5"/>
  <pageSetup fitToHeight="1" fitToWidth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5"/>
  <sheetViews>
    <sheetView workbookViewId="0" topLeftCell="A4">
      <pane xSplit="1" ySplit="9" topLeftCell="B25" activePane="bottomRight" state="frozen"/>
      <selection pane="topLeft" activeCell="I17" sqref="I17"/>
      <selection pane="topRight" activeCell="I17" sqref="I17"/>
      <selection pane="bottomLeft" activeCell="I17" sqref="I17"/>
      <selection pane="bottomRight" activeCell="A4" sqref="A4"/>
    </sheetView>
  </sheetViews>
  <sheetFormatPr defaultColWidth="9.33203125" defaultRowHeight="12.75"/>
  <cols>
    <col min="1" max="1" width="33.83203125" style="73" customWidth="1"/>
    <col min="2" max="2" width="10.33203125" style="73" customWidth="1"/>
    <col min="3" max="4" width="9.33203125" style="73" customWidth="1"/>
    <col min="5" max="5" width="12.5" style="73" customWidth="1"/>
    <col min="6" max="16384" width="9.33203125" style="73" customWidth="1"/>
  </cols>
  <sheetData>
    <row r="1" s="76" customFormat="1" ht="12.75">
      <c r="A1" s="74" t="s">
        <v>389</v>
      </c>
    </row>
    <row r="2" s="78" customFormat="1" ht="13.5">
      <c r="A2" s="77" t="s">
        <v>162</v>
      </c>
    </row>
    <row r="3" s="76" customFormat="1" ht="12.75">
      <c r="A3" s="74"/>
    </row>
    <row r="4" s="76" customFormat="1" ht="12.75">
      <c r="A4" s="74" t="s">
        <v>142</v>
      </c>
    </row>
    <row r="5" s="76" customFormat="1" ht="12.75">
      <c r="A5" s="74" t="s">
        <v>260</v>
      </c>
    </row>
    <row r="6" s="76" customFormat="1" ht="12.75">
      <c r="A6" s="74" t="s">
        <v>140</v>
      </c>
    </row>
    <row r="8" spans="1:6" s="92" customFormat="1" ht="12.75">
      <c r="A8" s="76"/>
      <c r="B8" s="170"/>
      <c r="C8" s="171" t="s">
        <v>25</v>
      </c>
      <c r="D8" s="171"/>
      <c r="E8" s="172"/>
      <c r="F8" s="173"/>
    </row>
    <row r="9" spans="3:4" s="92" customFormat="1" ht="4.5" customHeight="1">
      <c r="C9" s="115"/>
      <c r="D9" s="115"/>
    </row>
    <row r="10" spans="2:8" s="92" customFormat="1" ht="12.75">
      <c r="B10" s="115" t="s">
        <v>143</v>
      </c>
      <c r="C10" s="115" t="s">
        <v>145</v>
      </c>
      <c r="D10" s="115" t="s">
        <v>144</v>
      </c>
      <c r="E10" s="115" t="s">
        <v>148</v>
      </c>
      <c r="F10" s="115" t="s">
        <v>399</v>
      </c>
      <c r="G10" s="115" t="s">
        <v>26</v>
      </c>
      <c r="H10" s="115" t="s">
        <v>399</v>
      </c>
    </row>
    <row r="11" spans="2:8" s="92" customFormat="1" ht="12.75">
      <c r="B11" s="115" t="s">
        <v>144</v>
      </c>
      <c r="C11" s="115" t="s">
        <v>146</v>
      </c>
      <c r="D11" s="115" t="s">
        <v>147</v>
      </c>
      <c r="E11" s="115" t="s">
        <v>149</v>
      </c>
      <c r="F11" s="115"/>
      <c r="G11" s="115" t="s">
        <v>333</v>
      </c>
      <c r="H11" s="115" t="s">
        <v>27</v>
      </c>
    </row>
    <row r="12" spans="2:8" s="92" customFormat="1" ht="12.75">
      <c r="B12" s="115" t="s">
        <v>397</v>
      </c>
      <c r="C12" s="115" t="s">
        <v>397</v>
      </c>
      <c r="D12" s="115" t="s">
        <v>397</v>
      </c>
      <c r="E12" s="115" t="s">
        <v>397</v>
      </c>
      <c r="F12" s="115" t="s">
        <v>397</v>
      </c>
      <c r="G12" s="115" t="s">
        <v>397</v>
      </c>
      <c r="H12" s="115" t="s">
        <v>397</v>
      </c>
    </row>
    <row r="13" spans="1:8" s="92" customFormat="1" ht="12.75">
      <c r="A13" s="92" t="s">
        <v>334</v>
      </c>
      <c r="B13" s="115"/>
      <c r="C13" s="115"/>
      <c r="D13" s="115"/>
      <c r="E13" s="115"/>
      <c r="F13" s="115"/>
      <c r="G13" s="115"/>
      <c r="H13" s="115"/>
    </row>
    <row r="14" spans="1:8" s="92" customFormat="1" ht="12.75">
      <c r="A14" s="116" t="s">
        <v>264</v>
      </c>
      <c r="B14" s="115"/>
      <c r="C14" s="115"/>
      <c r="D14" s="115"/>
      <c r="E14" s="115"/>
      <c r="F14" s="115"/>
      <c r="G14" s="115"/>
      <c r="H14" s="115"/>
    </row>
    <row r="16" spans="1:8" s="92" customFormat="1" ht="12.75">
      <c r="A16" s="92" t="s">
        <v>265</v>
      </c>
      <c r="B16" s="70">
        <v>139330</v>
      </c>
      <c r="C16" s="70">
        <v>9008</v>
      </c>
      <c r="D16" s="70">
        <v>2900</v>
      </c>
      <c r="E16" s="93">
        <v>-127519</v>
      </c>
      <c r="F16" s="93">
        <v>23719</v>
      </c>
      <c r="G16" s="93">
        <v>566</v>
      </c>
      <c r="H16" s="93">
        <v>24285</v>
      </c>
    </row>
    <row r="17" spans="2:8" s="92" customFormat="1" ht="12.75">
      <c r="B17" s="93"/>
      <c r="C17" s="93"/>
      <c r="D17" s="93"/>
      <c r="E17" s="93"/>
      <c r="F17" s="93"/>
      <c r="G17" s="93"/>
      <c r="H17" s="93"/>
    </row>
    <row r="18" spans="1:8" s="92" customFormat="1" ht="12.75" hidden="1">
      <c r="A18" s="92" t="s">
        <v>342</v>
      </c>
      <c r="B18" s="93">
        <v>0</v>
      </c>
      <c r="C18" s="93">
        <v>0</v>
      </c>
      <c r="D18" s="93">
        <v>0</v>
      </c>
      <c r="E18" s="93">
        <v>0</v>
      </c>
      <c r="F18" s="93">
        <v>0</v>
      </c>
      <c r="G18" s="93"/>
      <c r="H18" s="93"/>
    </row>
    <row r="19" spans="2:8" s="92" customFormat="1" ht="12.75" hidden="1">
      <c r="B19" s="93"/>
      <c r="C19" s="93"/>
      <c r="D19" s="93"/>
      <c r="E19" s="93"/>
      <c r="F19" s="93"/>
      <c r="G19" s="93"/>
      <c r="H19" s="93"/>
    </row>
    <row r="20" spans="1:8" s="92" customFormat="1" ht="12.75" hidden="1">
      <c r="A20" s="92" t="s">
        <v>343</v>
      </c>
      <c r="B20" s="93">
        <v>0</v>
      </c>
      <c r="C20" s="93">
        <v>0</v>
      </c>
      <c r="D20" s="93">
        <v>0</v>
      </c>
      <c r="E20" s="93">
        <v>0</v>
      </c>
      <c r="F20" s="93">
        <v>0</v>
      </c>
      <c r="G20" s="93"/>
      <c r="H20" s="93"/>
    </row>
    <row r="21" spans="1:8" s="85" customFormat="1" ht="12.75" hidden="1">
      <c r="A21" s="92"/>
      <c r="B21" s="93"/>
      <c r="C21" s="83"/>
      <c r="D21" s="84"/>
      <c r="E21" s="84"/>
      <c r="F21" s="84"/>
      <c r="G21" s="84"/>
      <c r="H21" s="84"/>
    </row>
    <row r="22" spans="1:8" s="85" customFormat="1" ht="12.75" hidden="1">
      <c r="A22" s="85" t="s">
        <v>349</v>
      </c>
      <c r="B22" s="84">
        <v>0</v>
      </c>
      <c r="C22" s="83">
        <v>0</v>
      </c>
      <c r="D22" s="84">
        <v>0</v>
      </c>
      <c r="E22" s="84">
        <v>0</v>
      </c>
      <c r="F22" s="84">
        <v>0</v>
      </c>
      <c r="G22" s="84"/>
      <c r="H22" s="84"/>
    </row>
    <row r="23" spans="2:8" s="85" customFormat="1" ht="12.75" hidden="1">
      <c r="B23" s="84"/>
      <c r="C23" s="84"/>
      <c r="D23" s="84"/>
      <c r="E23" s="84"/>
      <c r="F23" s="84"/>
      <c r="G23" s="84"/>
      <c r="H23" s="84"/>
    </row>
    <row r="24" spans="1:8" s="85" customFormat="1" ht="12.75">
      <c r="A24" s="85" t="s">
        <v>293</v>
      </c>
      <c r="B24" s="84">
        <v>0</v>
      </c>
      <c r="C24" s="84">
        <v>0</v>
      </c>
      <c r="D24" s="84">
        <v>0</v>
      </c>
      <c r="E24" s="84">
        <v>-254.8659029999999</v>
      </c>
      <c r="F24" s="84">
        <v>-254.8659029999999</v>
      </c>
      <c r="G24" s="84">
        <v>-4.327587</v>
      </c>
      <c r="H24" s="93">
        <v>-259.1934899999999</v>
      </c>
    </row>
    <row r="25" spans="2:8" s="85" customFormat="1" ht="12.75">
      <c r="B25" s="84"/>
      <c r="C25" s="84"/>
      <c r="D25" s="84"/>
      <c r="E25" s="84"/>
      <c r="F25" s="84"/>
      <c r="G25" s="84"/>
      <c r="H25" s="84"/>
    </row>
    <row r="26" spans="1:8" s="85" customFormat="1" ht="12.75" hidden="1">
      <c r="A26" s="85" t="s">
        <v>279</v>
      </c>
      <c r="B26" s="84">
        <v>0</v>
      </c>
      <c r="C26" s="84">
        <v>0</v>
      </c>
      <c r="D26" s="84">
        <v>0</v>
      </c>
      <c r="E26" s="84">
        <v>0</v>
      </c>
      <c r="F26" s="84">
        <v>0</v>
      </c>
      <c r="G26" s="84"/>
      <c r="H26" s="84"/>
    </row>
    <row r="27" spans="2:8" s="85" customFormat="1" ht="12.75" hidden="1">
      <c r="B27" s="84"/>
      <c r="C27" s="84"/>
      <c r="D27" s="84"/>
      <c r="E27" s="84"/>
      <c r="F27" s="84"/>
      <c r="G27" s="84"/>
      <c r="H27" s="84"/>
    </row>
    <row r="28" spans="1:10" s="85" customFormat="1" ht="13.5" thickBot="1">
      <c r="A28" s="85" t="s">
        <v>266</v>
      </c>
      <c r="B28" s="87">
        <v>139330</v>
      </c>
      <c r="C28" s="87">
        <v>9008</v>
      </c>
      <c r="D28" s="87">
        <v>2900</v>
      </c>
      <c r="E28" s="87">
        <v>-127773.865903</v>
      </c>
      <c r="F28" s="87">
        <v>23464.134097000002</v>
      </c>
      <c r="G28" s="87">
        <v>561.672413</v>
      </c>
      <c r="H28" s="87">
        <v>24025.80651</v>
      </c>
      <c r="J28" s="85">
        <v>-115865.865903</v>
      </c>
    </row>
    <row r="29" spans="2:8" s="85" customFormat="1" ht="12.75">
      <c r="B29" s="84"/>
      <c r="C29" s="84"/>
      <c r="D29" s="84"/>
      <c r="E29" s="84"/>
      <c r="F29" s="84"/>
      <c r="G29" s="84"/>
      <c r="H29" s="84"/>
    </row>
    <row r="30" spans="2:8" s="85" customFormat="1" ht="12.75">
      <c r="B30" s="84"/>
      <c r="C30" s="84"/>
      <c r="D30" s="84"/>
      <c r="E30" s="84"/>
      <c r="F30" s="84"/>
      <c r="G30" s="84"/>
      <c r="H30" s="84"/>
    </row>
    <row r="31" spans="1:8" s="92" customFormat="1" ht="12.75">
      <c r="A31" s="92" t="s">
        <v>334</v>
      </c>
      <c r="B31" s="115"/>
      <c r="C31" s="115"/>
      <c r="D31" s="115"/>
      <c r="E31" s="115"/>
      <c r="F31" s="115"/>
      <c r="G31" s="115"/>
      <c r="H31" s="115"/>
    </row>
    <row r="32" spans="1:8" s="92" customFormat="1" ht="12.75">
      <c r="A32" s="116" t="s">
        <v>374</v>
      </c>
      <c r="B32" s="115"/>
      <c r="C32" s="115"/>
      <c r="D32" s="115"/>
      <c r="E32" s="115"/>
      <c r="F32" s="115"/>
      <c r="G32" s="115"/>
      <c r="H32" s="115"/>
    </row>
    <row r="33" s="92" customFormat="1" ht="12.75"/>
    <row r="34" spans="1:8" s="92" customFormat="1" ht="12.75">
      <c r="A34" s="92" t="s">
        <v>382</v>
      </c>
      <c r="B34" s="83">
        <v>139330</v>
      </c>
      <c r="C34" s="83">
        <v>9008</v>
      </c>
      <c r="D34" s="83">
        <v>13821</v>
      </c>
      <c r="E34" s="83">
        <v>-134897</v>
      </c>
      <c r="F34" s="93">
        <v>27262</v>
      </c>
      <c r="G34" s="93">
        <v>743</v>
      </c>
      <c r="H34" s="93">
        <v>28005</v>
      </c>
    </row>
    <row r="35" spans="2:8" s="92" customFormat="1" ht="12.75">
      <c r="B35" s="93"/>
      <c r="C35" s="93"/>
      <c r="D35" s="93"/>
      <c r="E35" s="93"/>
      <c r="F35" s="93"/>
      <c r="G35" s="93"/>
      <c r="H35" s="93"/>
    </row>
    <row r="36" spans="1:8" s="92" customFormat="1" ht="12.75" hidden="1">
      <c r="A36" s="92" t="s">
        <v>342</v>
      </c>
      <c r="B36" s="93">
        <v>0</v>
      </c>
      <c r="C36" s="93">
        <v>0</v>
      </c>
      <c r="D36" s="93">
        <v>0</v>
      </c>
      <c r="E36" s="93">
        <v>0</v>
      </c>
      <c r="F36" s="93">
        <v>0</v>
      </c>
      <c r="G36" s="93"/>
      <c r="H36" s="93"/>
    </row>
    <row r="37" spans="2:8" s="92" customFormat="1" ht="12.75" hidden="1">
      <c r="B37" s="93"/>
      <c r="C37" s="93"/>
      <c r="D37" s="93"/>
      <c r="E37" s="93"/>
      <c r="F37" s="93"/>
      <c r="G37" s="93"/>
      <c r="H37" s="93"/>
    </row>
    <row r="38" spans="1:8" s="92" customFormat="1" ht="12.75" hidden="1">
      <c r="A38" s="92" t="s">
        <v>343</v>
      </c>
      <c r="B38" s="93">
        <v>0</v>
      </c>
      <c r="C38" s="93">
        <v>0</v>
      </c>
      <c r="D38" s="93">
        <v>0</v>
      </c>
      <c r="E38" s="93">
        <v>0</v>
      </c>
      <c r="F38" s="93">
        <v>0</v>
      </c>
      <c r="G38" s="93"/>
      <c r="H38" s="93"/>
    </row>
    <row r="39" spans="2:8" s="92" customFormat="1" ht="12.75" hidden="1">
      <c r="B39" s="93"/>
      <c r="C39" s="93"/>
      <c r="D39" s="93"/>
      <c r="E39" s="93"/>
      <c r="F39" s="93"/>
      <c r="G39" s="93"/>
      <c r="H39" s="93"/>
    </row>
    <row r="40" spans="1:8" s="92" customFormat="1" ht="12.75" hidden="1">
      <c r="A40" s="92" t="s">
        <v>349</v>
      </c>
      <c r="B40" s="93">
        <v>0</v>
      </c>
      <c r="C40" s="93">
        <v>0</v>
      </c>
      <c r="D40" s="93">
        <v>0</v>
      </c>
      <c r="E40" s="93">
        <v>0</v>
      </c>
      <c r="F40" s="93">
        <v>0</v>
      </c>
      <c r="G40" s="93"/>
      <c r="H40" s="93"/>
    </row>
    <row r="41" spans="2:8" s="92" customFormat="1" ht="12.75" hidden="1">
      <c r="B41" s="93"/>
      <c r="C41" s="93"/>
      <c r="D41" s="93"/>
      <c r="E41" s="93"/>
      <c r="F41" s="93"/>
      <c r="G41" s="93"/>
      <c r="H41" s="93"/>
    </row>
    <row r="42" spans="1:8" s="92" customFormat="1" ht="12.75">
      <c r="A42" s="92" t="s">
        <v>381</v>
      </c>
      <c r="B42" s="158">
        <v>0</v>
      </c>
      <c r="C42" s="158">
        <v>0</v>
      </c>
      <c r="D42" s="158">
        <v>0</v>
      </c>
      <c r="E42" s="127">
        <v>-3543</v>
      </c>
      <c r="F42" s="158">
        <v>-3543</v>
      </c>
      <c r="G42" s="158">
        <v>-177</v>
      </c>
      <c r="H42" s="93">
        <v>-3720</v>
      </c>
    </row>
    <row r="43" spans="2:8" s="92" customFormat="1" ht="12.75">
      <c r="B43" s="158"/>
      <c r="C43" s="158"/>
      <c r="D43" s="158"/>
      <c r="E43" s="158"/>
      <c r="F43" s="158"/>
      <c r="G43" s="158"/>
      <c r="H43" s="158"/>
    </row>
    <row r="44" spans="1:8" s="92" customFormat="1" ht="12.75">
      <c r="A44" s="92" t="s">
        <v>23</v>
      </c>
      <c r="B44" s="158"/>
      <c r="C44" s="158"/>
      <c r="D44" s="158"/>
      <c r="E44" s="158"/>
      <c r="F44" s="158"/>
      <c r="G44" s="158"/>
      <c r="H44" s="158"/>
    </row>
    <row r="45" spans="1:8" s="92" customFormat="1" ht="12.75">
      <c r="A45" s="92" t="s">
        <v>24</v>
      </c>
      <c r="B45" s="158">
        <v>0</v>
      </c>
      <c r="C45" s="127">
        <v>0</v>
      </c>
      <c r="D45" s="158">
        <v>-10921</v>
      </c>
      <c r="E45" s="158">
        <v>10921</v>
      </c>
      <c r="F45" s="158">
        <v>0</v>
      </c>
      <c r="G45" s="158"/>
      <c r="H45" s="93">
        <v>0</v>
      </c>
    </row>
    <row r="46" spans="2:8" s="92" customFormat="1" ht="12.75">
      <c r="B46" s="93"/>
      <c r="C46" s="93"/>
      <c r="D46" s="93"/>
      <c r="E46" s="93"/>
      <c r="F46" s="93"/>
      <c r="G46" s="93"/>
      <c r="H46" s="93"/>
    </row>
    <row r="47" spans="1:8" s="92" customFormat="1" ht="13.5" thickBot="1">
      <c r="A47" s="85" t="s">
        <v>375</v>
      </c>
      <c r="B47" s="117">
        <v>139330</v>
      </c>
      <c r="C47" s="117">
        <v>9008</v>
      </c>
      <c r="D47" s="117">
        <v>2900</v>
      </c>
      <c r="E47" s="117">
        <v>-127519</v>
      </c>
      <c r="F47" s="117">
        <v>23719</v>
      </c>
      <c r="G47" s="117">
        <v>566</v>
      </c>
      <c r="H47" s="117">
        <v>24285</v>
      </c>
    </row>
    <row r="48" spans="2:8" s="92" customFormat="1" ht="12.75">
      <c r="B48" s="93"/>
      <c r="C48" s="93"/>
      <c r="D48" s="93"/>
      <c r="E48" s="93"/>
      <c r="F48" s="93"/>
      <c r="G48" s="93"/>
      <c r="H48" s="93"/>
    </row>
    <row r="49" spans="2:8" s="92" customFormat="1" ht="12.75">
      <c r="B49" s="93"/>
      <c r="C49" s="93"/>
      <c r="D49" s="93"/>
      <c r="E49" s="93"/>
      <c r="F49" s="93"/>
      <c r="G49" s="93"/>
      <c r="H49" s="93"/>
    </row>
    <row r="50" spans="2:8" s="92" customFormat="1" ht="12.75">
      <c r="B50" s="93"/>
      <c r="C50" s="93"/>
      <c r="D50" s="93"/>
      <c r="E50" s="93"/>
      <c r="F50" s="93"/>
      <c r="G50" s="93"/>
      <c r="H50" s="93"/>
    </row>
    <row r="51" spans="2:8" s="92" customFormat="1" ht="12.75">
      <c r="B51" s="93"/>
      <c r="C51" s="93"/>
      <c r="D51" s="93"/>
      <c r="E51" s="93"/>
      <c r="F51" s="93"/>
      <c r="G51" s="93"/>
      <c r="H51" s="93"/>
    </row>
    <row r="52" spans="2:8" s="92" customFormat="1" ht="12.75">
      <c r="B52" s="93"/>
      <c r="C52" s="93"/>
      <c r="D52" s="93"/>
      <c r="E52" s="93"/>
      <c r="F52" s="93"/>
      <c r="G52" s="93"/>
      <c r="H52" s="93"/>
    </row>
    <row r="53" spans="2:8" s="92" customFormat="1" ht="12.75">
      <c r="B53" s="93"/>
      <c r="C53" s="93"/>
      <c r="D53" s="93"/>
      <c r="E53" s="93"/>
      <c r="F53" s="93"/>
      <c r="G53" s="93"/>
      <c r="H53" s="93"/>
    </row>
    <row r="54" spans="1:8" ht="12.75">
      <c r="A54" s="88" t="s">
        <v>305</v>
      </c>
      <c r="B54" s="89"/>
      <c r="C54" s="89"/>
      <c r="D54" s="89"/>
      <c r="E54" s="89"/>
      <c r="F54" s="89"/>
      <c r="G54" s="89"/>
      <c r="H54" s="89"/>
    </row>
    <row r="55" spans="1:8" ht="12.75">
      <c r="A55" s="88" t="s">
        <v>259</v>
      </c>
      <c r="B55" s="89"/>
      <c r="C55" s="89"/>
      <c r="D55" s="89"/>
      <c r="E55" s="89"/>
      <c r="F55" s="89"/>
      <c r="G55" s="89"/>
      <c r="H55" s="89"/>
    </row>
  </sheetData>
  <printOptions horizontalCentered="1"/>
  <pageMargins left="0.75" right="0.75" top="1" bottom="1" header="0.5" footer="0.5"/>
  <pageSetup fitToHeight="1" fitToWidth="1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52"/>
  <sheetViews>
    <sheetView workbookViewId="0" topLeftCell="A1">
      <selection activeCell="A1" sqref="A1"/>
    </sheetView>
  </sheetViews>
  <sheetFormatPr defaultColWidth="9.33203125" defaultRowHeight="12.75"/>
  <cols>
    <col min="1" max="1" width="3.33203125" style="73" customWidth="1"/>
    <col min="2" max="2" width="2.33203125" style="73" customWidth="1"/>
    <col min="3" max="3" width="59.66015625" style="73" customWidth="1"/>
    <col min="4" max="4" width="12.66015625" style="89" customWidth="1"/>
    <col min="5" max="5" width="2.66015625" style="123" customWidth="1"/>
    <col min="6" max="6" width="12.66015625" style="123" customWidth="1"/>
    <col min="7" max="8" width="10.66015625" style="123" customWidth="1"/>
    <col min="9" max="9" width="9.16015625" style="73" hidden="1" customWidth="1"/>
    <col min="10" max="11" width="10.16015625" style="73" hidden="1" customWidth="1"/>
    <col min="12" max="12" width="10.16015625" style="143" hidden="1" customWidth="1"/>
    <col min="13" max="16384" width="9.33203125" style="73" customWidth="1"/>
  </cols>
  <sheetData>
    <row r="1" spans="1:12" s="76" customFormat="1" ht="12.75">
      <c r="A1" s="74" t="s">
        <v>389</v>
      </c>
      <c r="D1" s="70"/>
      <c r="E1" s="132"/>
      <c r="F1" s="132"/>
      <c r="G1" s="132"/>
      <c r="H1" s="132"/>
      <c r="L1" s="143"/>
    </row>
    <row r="2" spans="1:12" s="78" customFormat="1" ht="13.5">
      <c r="A2" s="77" t="s">
        <v>162</v>
      </c>
      <c r="D2" s="133"/>
      <c r="E2" s="134"/>
      <c r="F2" s="134"/>
      <c r="G2" s="134"/>
      <c r="H2" s="134"/>
      <c r="L2" s="143"/>
    </row>
    <row r="3" spans="1:12" s="76" customFormat="1" ht="12.75">
      <c r="A3" s="74"/>
      <c r="D3" s="70"/>
      <c r="E3" s="132"/>
      <c r="F3" s="132"/>
      <c r="G3" s="132"/>
      <c r="H3" s="132"/>
      <c r="L3" s="143"/>
    </row>
    <row r="4" spans="1:12" s="76" customFormat="1" ht="12.75">
      <c r="A4" s="74" t="s">
        <v>114</v>
      </c>
      <c r="D4" s="70"/>
      <c r="E4" s="132"/>
      <c r="F4" s="132"/>
      <c r="G4" s="132"/>
      <c r="H4" s="132"/>
      <c r="L4" s="143"/>
    </row>
    <row r="5" spans="1:12" s="76" customFormat="1" ht="12.75">
      <c r="A5" s="74" t="s">
        <v>261</v>
      </c>
      <c r="D5" s="70"/>
      <c r="E5" s="132"/>
      <c r="F5" s="132"/>
      <c r="G5" s="132"/>
      <c r="H5" s="132"/>
      <c r="L5" s="143"/>
    </row>
    <row r="6" spans="1:12" s="76" customFormat="1" ht="12.75">
      <c r="A6" s="74" t="s">
        <v>140</v>
      </c>
      <c r="D6" s="70"/>
      <c r="E6" s="132"/>
      <c r="F6" s="168"/>
      <c r="G6" s="132"/>
      <c r="H6" s="132"/>
      <c r="L6" s="143"/>
    </row>
    <row r="7" spans="4:12" s="76" customFormat="1" ht="12.75">
      <c r="D7" s="82" t="s">
        <v>262</v>
      </c>
      <c r="E7" s="135"/>
      <c r="F7" s="82" t="s">
        <v>262</v>
      </c>
      <c r="G7" s="135"/>
      <c r="H7" s="135"/>
      <c r="I7" s="80" t="s">
        <v>195</v>
      </c>
      <c r="J7" s="80" t="s">
        <v>196</v>
      </c>
      <c r="K7" s="80" t="s">
        <v>377</v>
      </c>
      <c r="L7" s="121" t="s">
        <v>321</v>
      </c>
    </row>
    <row r="8" spans="1:12" s="76" customFormat="1" ht="12.75">
      <c r="A8" s="74"/>
      <c r="D8" s="82" t="s">
        <v>198</v>
      </c>
      <c r="E8" s="135"/>
      <c r="F8" s="82" t="s">
        <v>198</v>
      </c>
      <c r="G8" s="135"/>
      <c r="H8" s="135"/>
      <c r="L8" s="143"/>
    </row>
    <row r="9" spans="4:12" s="76" customFormat="1" ht="12.75">
      <c r="D9" s="163" t="s">
        <v>264</v>
      </c>
      <c r="E9" s="132"/>
      <c r="F9" s="163" t="s">
        <v>263</v>
      </c>
      <c r="G9" s="132"/>
      <c r="H9" s="132"/>
      <c r="I9" s="152" t="s">
        <v>378</v>
      </c>
      <c r="J9" s="152" t="s">
        <v>379</v>
      </c>
      <c r="K9" s="142" t="s">
        <v>36</v>
      </c>
      <c r="L9" s="144" t="s">
        <v>380</v>
      </c>
    </row>
    <row r="10" spans="4:12" s="76" customFormat="1" ht="12.75">
      <c r="D10" s="82" t="s">
        <v>103</v>
      </c>
      <c r="E10" s="135"/>
      <c r="F10" s="82" t="s">
        <v>103</v>
      </c>
      <c r="G10" s="135"/>
      <c r="H10" s="135"/>
      <c r="I10" s="80" t="s">
        <v>397</v>
      </c>
      <c r="J10" s="80" t="s">
        <v>397</v>
      </c>
      <c r="K10" s="80" t="s">
        <v>397</v>
      </c>
      <c r="L10" s="121" t="s">
        <v>397</v>
      </c>
    </row>
    <row r="11" spans="1:12" s="76" customFormat="1" ht="12.75">
      <c r="A11" s="74" t="s">
        <v>0</v>
      </c>
      <c r="D11" s="70"/>
      <c r="E11" s="132"/>
      <c r="F11" s="132"/>
      <c r="G11" s="132"/>
      <c r="H11" s="132"/>
      <c r="L11" s="143"/>
    </row>
    <row r="12" spans="2:12" s="76" customFormat="1" ht="12.75">
      <c r="B12" s="76" t="s">
        <v>47</v>
      </c>
      <c r="D12" s="70">
        <v>-259.19357999995185</v>
      </c>
      <c r="E12" s="132"/>
      <c r="F12" s="129">
        <v>-327</v>
      </c>
      <c r="G12" s="132"/>
      <c r="H12" s="118">
        <v>-948</v>
      </c>
      <c r="I12" s="153">
        <v>-1383.9124787299997</v>
      </c>
      <c r="J12" s="154">
        <v>967.2417387299487</v>
      </c>
      <c r="K12" s="76">
        <v>157.47716000009922</v>
      </c>
      <c r="L12" s="143">
        <v>259.19357999995185</v>
      </c>
    </row>
    <row r="13" spans="2:12" s="76" customFormat="1" ht="12.75">
      <c r="B13" s="76" t="s">
        <v>104</v>
      </c>
      <c r="D13" s="70"/>
      <c r="E13" s="132"/>
      <c r="F13" s="129"/>
      <c r="G13" s="132"/>
      <c r="H13" s="118"/>
      <c r="I13" s="153"/>
      <c r="J13" s="154"/>
      <c r="L13" s="143"/>
    </row>
    <row r="14" spans="3:12" s="76" customFormat="1" ht="12.75">
      <c r="C14" s="76" t="s">
        <v>105</v>
      </c>
      <c r="D14" s="70">
        <v>46.641270000000006</v>
      </c>
      <c r="E14" s="132"/>
      <c r="F14" s="129">
        <v>43</v>
      </c>
      <c r="G14" s="132"/>
      <c r="H14" s="118">
        <v>180</v>
      </c>
      <c r="I14" s="153">
        <v>133.3691</v>
      </c>
      <c r="J14" s="154">
        <v>-30.72415000000001</v>
      </c>
      <c r="K14" s="76">
        <v>-56.00367999999999</v>
      </c>
      <c r="L14" s="143">
        <v>-46.641270000000006</v>
      </c>
    </row>
    <row r="15" spans="3:12" s="76" customFormat="1" ht="12.75">
      <c r="C15" s="76" t="s">
        <v>163</v>
      </c>
      <c r="D15" s="70">
        <v>0</v>
      </c>
      <c r="E15" s="132"/>
      <c r="F15" s="129">
        <v>0</v>
      </c>
      <c r="G15" s="132"/>
      <c r="H15" s="118">
        <v>0</v>
      </c>
      <c r="I15" s="153">
        <v>1490.59135873</v>
      </c>
      <c r="J15" s="154">
        <v>-1490.59135873</v>
      </c>
      <c r="K15" s="76">
        <v>0</v>
      </c>
      <c r="L15" s="143">
        <v>0</v>
      </c>
    </row>
    <row r="16" spans="3:12" s="76" customFormat="1" ht="12.75">
      <c r="C16" s="76" t="s">
        <v>106</v>
      </c>
      <c r="D16" s="114">
        <v>-194.47629</v>
      </c>
      <c r="E16" s="132"/>
      <c r="F16" s="126">
        <v>-51</v>
      </c>
      <c r="G16" s="132"/>
      <c r="H16" s="118">
        <v>-254</v>
      </c>
      <c r="I16" s="155"/>
      <c r="J16" s="156"/>
      <c r="K16" s="122"/>
      <c r="L16" s="145"/>
    </row>
    <row r="17" spans="2:12" s="76" customFormat="1" ht="12.75">
      <c r="B17" s="76" t="s">
        <v>48</v>
      </c>
      <c r="D17" s="70">
        <v>-407.02859999995184</v>
      </c>
      <c r="E17" s="132"/>
      <c r="F17" s="70">
        <v>-335</v>
      </c>
      <c r="G17" s="132"/>
      <c r="H17" s="70">
        <v>-1022</v>
      </c>
      <c r="I17" s="153"/>
      <c r="J17" s="153"/>
      <c r="K17" s="70"/>
      <c r="L17" s="146"/>
    </row>
    <row r="18" spans="3:12" s="76" customFormat="1" ht="12.75">
      <c r="C18" s="76" t="s">
        <v>107</v>
      </c>
      <c r="D18" s="124">
        <v>-103.29312000000084</v>
      </c>
      <c r="E18" s="132"/>
      <c r="F18" s="129">
        <v>-284</v>
      </c>
      <c r="G18" s="132"/>
      <c r="H18" s="129">
        <v>354</v>
      </c>
      <c r="I18" s="153"/>
      <c r="J18" s="154"/>
      <c r="L18" s="147"/>
    </row>
    <row r="19" spans="3:12" s="76" customFormat="1" ht="12.75">
      <c r="C19" s="76" t="s">
        <v>108</v>
      </c>
      <c r="D19" s="114">
        <v>194.43665999999996</v>
      </c>
      <c r="E19" s="132"/>
      <c r="F19" s="126">
        <v>688</v>
      </c>
      <c r="G19" s="132"/>
      <c r="H19" s="118">
        <v>273</v>
      </c>
      <c r="I19" s="155"/>
      <c r="J19" s="156"/>
      <c r="K19" s="122"/>
      <c r="L19" s="145"/>
    </row>
    <row r="20" spans="2:12" s="76" customFormat="1" ht="12.75">
      <c r="B20" s="76" t="s">
        <v>268</v>
      </c>
      <c r="D20" s="70">
        <v>-315.8850599999527</v>
      </c>
      <c r="E20" s="132"/>
      <c r="F20" s="70">
        <v>69</v>
      </c>
      <c r="G20" s="132"/>
      <c r="H20" s="70">
        <v>-395</v>
      </c>
      <c r="I20" s="153"/>
      <c r="J20" s="153"/>
      <c r="K20" s="70"/>
      <c r="L20" s="146"/>
    </row>
    <row r="21" spans="3:12" s="76" customFormat="1" ht="12.75">
      <c r="C21" s="76" t="s">
        <v>109</v>
      </c>
      <c r="D21" s="70">
        <v>69.47629</v>
      </c>
      <c r="E21" s="132"/>
      <c r="F21" s="129">
        <v>51</v>
      </c>
      <c r="G21" s="132"/>
      <c r="H21" s="118">
        <v>253</v>
      </c>
      <c r="I21" s="153"/>
      <c r="J21" s="154"/>
      <c r="L21" s="143"/>
    </row>
    <row r="22" spans="3:12" s="76" customFormat="1" ht="12.75">
      <c r="C22" s="76" t="s">
        <v>110</v>
      </c>
      <c r="D22" s="70">
        <v>0</v>
      </c>
      <c r="E22" s="132"/>
      <c r="F22" s="129">
        <v>-0.23213999999999999</v>
      </c>
      <c r="G22" s="132"/>
      <c r="H22" s="118">
        <v>-1</v>
      </c>
      <c r="I22" s="153"/>
      <c r="J22" s="154"/>
      <c r="L22" s="143"/>
    </row>
    <row r="23" spans="3:12" s="76" customFormat="1" ht="12.75">
      <c r="C23" s="76" t="s">
        <v>49</v>
      </c>
      <c r="D23" s="70">
        <v>-0.501</v>
      </c>
      <c r="E23" s="132"/>
      <c r="F23" s="129">
        <v>-11</v>
      </c>
      <c r="G23" s="132"/>
      <c r="H23" s="118">
        <v>126</v>
      </c>
      <c r="I23" s="153"/>
      <c r="J23" s="154"/>
      <c r="L23" s="143"/>
    </row>
    <row r="24" spans="2:12" s="76" customFormat="1" ht="12.75">
      <c r="B24" s="76" t="s">
        <v>50</v>
      </c>
      <c r="D24" s="112">
        <v>-246.90976999995272</v>
      </c>
      <c r="E24" s="132"/>
      <c r="F24" s="112">
        <v>108.76786</v>
      </c>
      <c r="G24" s="132"/>
      <c r="H24" s="112">
        <v>-17</v>
      </c>
      <c r="I24" s="157"/>
      <c r="J24" s="157"/>
      <c r="K24" s="112"/>
      <c r="L24" s="148"/>
    </row>
    <row r="25" spans="4:12" s="76" customFormat="1" ht="12.75">
      <c r="D25" s="70"/>
      <c r="E25" s="132"/>
      <c r="F25" s="132"/>
      <c r="G25" s="132"/>
      <c r="H25" s="132"/>
      <c r="I25" s="153"/>
      <c r="J25" s="154"/>
      <c r="L25" s="143"/>
    </row>
    <row r="26" spans="1:12" s="76" customFormat="1" ht="12.75">
      <c r="A26" s="74" t="s">
        <v>111</v>
      </c>
      <c r="D26" s="70"/>
      <c r="E26" s="132"/>
      <c r="F26" s="132"/>
      <c r="G26" s="132"/>
      <c r="H26" s="132"/>
      <c r="I26" s="153"/>
      <c r="J26" s="154"/>
      <c r="L26" s="143"/>
    </row>
    <row r="27" spans="1:12" s="76" customFormat="1" ht="12.75">
      <c r="A27" s="74"/>
      <c r="B27" s="76" t="s">
        <v>81</v>
      </c>
      <c r="D27" s="124">
        <v>346</v>
      </c>
      <c r="E27" s="132"/>
      <c r="F27" s="129">
        <v>0</v>
      </c>
      <c r="G27" s="132"/>
      <c r="H27" s="129">
        <v>3</v>
      </c>
      <c r="I27" s="153"/>
      <c r="J27" s="154"/>
      <c r="K27" s="136">
        <v>346</v>
      </c>
      <c r="L27" s="143"/>
    </row>
    <row r="28" spans="2:12" s="76" customFormat="1" ht="12.75">
      <c r="B28" s="76" t="s">
        <v>112</v>
      </c>
      <c r="D28" s="114">
        <v>-153.6044</v>
      </c>
      <c r="E28" s="132"/>
      <c r="F28" s="129">
        <v>-20</v>
      </c>
      <c r="G28" s="132"/>
      <c r="H28" s="118">
        <v>-39</v>
      </c>
      <c r="I28" s="155">
        <v>-35.85145</v>
      </c>
      <c r="J28" s="156">
        <v>23.039450000000002</v>
      </c>
      <c r="K28" s="122">
        <v>-140.7924</v>
      </c>
      <c r="L28" s="145">
        <v>153.6044</v>
      </c>
    </row>
    <row r="29" spans="4:12" s="76" customFormat="1" ht="12.75">
      <c r="D29" s="112">
        <v>192.3956</v>
      </c>
      <c r="E29" s="132"/>
      <c r="F29" s="112">
        <v>-20</v>
      </c>
      <c r="G29" s="132"/>
      <c r="H29" s="112">
        <v>-36</v>
      </c>
      <c r="I29" s="157">
        <v>-35.85145</v>
      </c>
      <c r="J29" s="157">
        <v>23.039450000000002</v>
      </c>
      <c r="K29" s="112">
        <v>205.2076</v>
      </c>
      <c r="L29" s="143"/>
    </row>
    <row r="30" spans="4:12" s="76" customFormat="1" ht="12.75">
      <c r="D30" s="70"/>
      <c r="E30" s="132"/>
      <c r="F30" s="132"/>
      <c r="G30" s="132"/>
      <c r="H30" s="132"/>
      <c r="I30" s="70"/>
      <c r="L30" s="143"/>
    </row>
    <row r="31" spans="1:12" s="76" customFormat="1" ht="12.75">
      <c r="A31" s="74" t="s">
        <v>113</v>
      </c>
      <c r="D31" s="70"/>
      <c r="E31" s="132"/>
      <c r="F31" s="132"/>
      <c r="G31" s="132"/>
      <c r="H31" s="132"/>
      <c r="I31" s="70"/>
      <c r="L31" s="143"/>
    </row>
    <row r="32" spans="1:12" s="76" customFormat="1" ht="12.75">
      <c r="A32" s="74"/>
      <c r="B32" s="76" t="s">
        <v>279</v>
      </c>
      <c r="D32" s="70">
        <v>0</v>
      </c>
      <c r="E32" s="132"/>
      <c r="F32" s="129">
        <v>0</v>
      </c>
      <c r="G32" s="132"/>
      <c r="H32" s="132">
        <v>0</v>
      </c>
      <c r="I32" s="70"/>
      <c r="L32" s="143"/>
    </row>
    <row r="33" spans="1:12" s="76" customFormat="1" ht="12.75" hidden="1">
      <c r="A33" s="74"/>
      <c r="B33" s="76" t="s">
        <v>341</v>
      </c>
      <c r="D33" s="70">
        <v>0</v>
      </c>
      <c r="E33" s="132"/>
      <c r="F33" s="129">
        <v>0</v>
      </c>
      <c r="G33" s="132"/>
      <c r="H33" s="132">
        <v>0</v>
      </c>
      <c r="I33" s="70"/>
      <c r="L33" s="143"/>
    </row>
    <row r="34" spans="2:12" s="76" customFormat="1" ht="12.75">
      <c r="B34" s="76" t="s">
        <v>197</v>
      </c>
      <c r="D34" s="132">
        <v>0</v>
      </c>
      <c r="E34" s="132"/>
      <c r="F34" s="129">
        <v>0</v>
      </c>
      <c r="G34" s="132"/>
      <c r="H34" s="132">
        <v>0</v>
      </c>
      <c r="I34" s="114">
        <v>-1063</v>
      </c>
      <c r="J34" s="122">
        <v>1063</v>
      </c>
      <c r="L34" s="143"/>
    </row>
    <row r="35" spans="2:12" s="76" customFormat="1" ht="12.75">
      <c r="B35" s="76" t="s">
        <v>267</v>
      </c>
      <c r="D35" s="114">
        <v>0</v>
      </c>
      <c r="E35" s="132"/>
      <c r="F35" s="129">
        <v>0</v>
      </c>
      <c r="G35" s="132"/>
      <c r="H35" s="132">
        <v>0</v>
      </c>
      <c r="I35" s="132"/>
      <c r="J35" s="136"/>
      <c r="L35" s="143"/>
    </row>
    <row r="36" spans="4:12" s="76" customFormat="1" ht="12.75">
      <c r="D36" s="112">
        <v>0</v>
      </c>
      <c r="E36" s="132"/>
      <c r="F36" s="112">
        <v>0</v>
      </c>
      <c r="G36" s="132"/>
      <c r="H36" s="112">
        <v>0</v>
      </c>
      <c r="I36" s="132"/>
      <c r="J36" s="136"/>
      <c r="L36" s="143"/>
    </row>
    <row r="37" spans="4:12" s="76" customFormat="1" ht="12.75">
      <c r="D37" s="70"/>
      <c r="E37" s="132"/>
      <c r="F37" s="132"/>
      <c r="G37" s="132"/>
      <c r="H37" s="132"/>
      <c r="I37" s="70"/>
      <c r="L37" s="143"/>
    </row>
    <row r="38" spans="1:13" s="76" customFormat="1" ht="12.75">
      <c r="A38" s="74" t="s">
        <v>28</v>
      </c>
      <c r="D38" s="70">
        <v>-54.51416999995271</v>
      </c>
      <c r="E38" s="132"/>
      <c r="F38" s="70">
        <v>88.76786</v>
      </c>
      <c r="G38" s="132"/>
      <c r="H38" s="70">
        <v>-53</v>
      </c>
      <c r="I38" s="70">
        <v>1272.8292200000024</v>
      </c>
      <c r="J38" s="70">
        <v>1086.03945</v>
      </c>
      <c r="L38" s="143"/>
      <c r="M38" s="76">
        <v>-54</v>
      </c>
    </row>
    <row r="39" spans="4:12" s="76" customFormat="1" ht="12.75">
      <c r="D39" s="70"/>
      <c r="E39" s="132"/>
      <c r="F39" s="118"/>
      <c r="G39" s="132"/>
      <c r="H39" s="118"/>
      <c r="I39" s="70"/>
      <c r="L39" s="143"/>
    </row>
    <row r="40" spans="1:12" s="76" customFormat="1" ht="12.75">
      <c r="A40" s="74" t="s">
        <v>116</v>
      </c>
      <c r="D40" s="70">
        <v>11306.89151999994</v>
      </c>
      <c r="E40" s="132"/>
      <c r="F40" s="129">
        <v>11361</v>
      </c>
      <c r="G40" s="132"/>
      <c r="H40" s="118">
        <v>11361</v>
      </c>
      <c r="I40" s="70">
        <v>661</v>
      </c>
      <c r="J40" s="76">
        <v>1933.8292200000024</v>
      </c>
      <c r="L40" s="143"/>
    </row>
    <row r="41" spans="4:12" s="76" customFormat="1" ht="12.75">
      <c r="D41" s="70"/>
      <c r="E41" s="132"/>
      <c r="F41" s="132"/>
      <c r="G41" s="132"/>
      <c r="H41" s="132"/>
      <c r="I41" s="70"/>
      <c r="L41" s="143"/>
    </row>
    <row r="42" spans="1:13" s="76" customFormat="1" ht="13.5" thickBot="1">
      <c r="A42" s="74" t="s">
        <v>115</v>
      </c>
      <c r="D42" s="113">
        <v>11252.377349999986</v>
      </c>
      <c r="E42" s="132"/>
      <c r="F42" s="130">
        <v>11449.76786</v>
      </c>
      <c r="G42" s="132"/>
      <c r="H42" s="113">
        <v>11308</v>
      </c>
      <c r="I42" s="113">
        <v>1933.8292200000024</v>
      </c>
      <c r="J42" s="113">
        <v>3019.8686700000026</v>
      </c>
      <c r="L42" s="143"/>
      <c r="M42" s="76">
        <v>11307</v>
      </c>
    </row>
    <row r="43" spans="4:12" s="76" customFormat="1" ht="12.75">
      <c r="D43" s="70"/>
      <c r="E43" s="132"/>
      <c r="F43" s="132"/>
      <c r="G43" s="132"/>
      <c r="H43" s="132"/>
      <c r="L43" s="143"/>
    </row>
    <row r="44" spans="1:12" s="76" customFormat="1" ht="12.75">
      <c r="A44" s="74" t="s">
        <v>29</v>
      </c>
      <c r="D44" s="70"/>
      <c r="E44" s="132"/>
      <c r="F44" s="132"/>
      <c r="G44" s="132"/>
      <c r="H44" s="132"/>
      <c r="L44" s="143"/>
    </row>
    <row r="45" spans="2:12" s="76" customFormat="1" ht="12.75">
      <c r="B45" s="76" t="s">
        <v>30</v>
      </c>
      <c r="D45" s="70">
        <v>9976.622599999999</v>
      </c>
      <c r="E45" s="132"/>
      <c r="F45" s="83">
        <v>10663</v>
      </c>
      <c r="G45" s="132"/>
      <c r="H45" s="132"/>
      <c r="L45" s="143"/>
    </row>
    <row r="46" spans="2:12" s="76" customFormat="1" ht="12.75">
      <c r="B46" s="76" t="s">
        <v>31</v>
      </c>
      <c r="D46" s="70">
        <v>1275.4432000000002</v>
      </c>
      <c r="E46" s="132"/>
      <c r="F46" s="83">
        <v>787</v>
      </c>
      <c r="G46" s="132"/>
      <c r="H46" s="132"/>
      <c r="L46" s="143"/>
    </row>
    <row r="47" spans="2:12" s="76" customFormat="1" ht="12.75">
      <c r="B47" s="76" t="s">
        <v>32</v>
      </c>
      <c r="D47" s="70">
        <v>0</v>
      </c>
      <c r="E47" s="132"/>
      <c r="F47" s="120">
        <v>0</v>
      </c>
      <c r="G47" s="132"/>
      <c r="H47" s="132"/>
      <c r="L47" s="143"/>
    </row>
    <row r="48" spans="4:12" s="76" customFormat="1" ht="13.5" thickBot="1">
      <c r="D48" s="113">
        <v>11252.065799999998</v>
      </c>
      <c r="E48" s="132"/>
      <c r="F48" s="113">
        <v>11450</v>
      </c>
      <c r="G48" s="132"/>
      <c r="H48" s="132"/>
      <c r="L48" s="143"/>
    </row>
    <row r="49" spans="4:12" s="76" customFormat="1" ht="12.75">
      <c r="D49" s="70"/>
      <c r="E49" s="132"/>
      <c r="F49" s="132"/>
      <c r="G49" s="132"/>
      <c r="H49" s="132"/>
      <c r="L49" s="143"/>
    </row>
    <row r="51" ht="12.75">
      <c r="A51" s="88" t="s">
        <v>160</v>
      </c>
    </row>
    <row r="52" ht="12.75">
      <c r="A52" s="88" t="s">
        <v>259</v>
      </c>
    </row>
  </sheetData>
  <printOptions horizontalCentered="1"/>
  <pageMargins left="0.5511811023622047" right="0.5511811023622047" top="0.984251968503937" bottom="0.98425196850393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29"/>
  <sheetViews>
    <sheetView workbookViewId="0" topLeftCell="A1">
      <selection activeCell="C22" sqref="C22"/>
    </sheetView>
  </sheetViews>
  <sheetFormatPr defaultColWidth="9.33203125" defaultRowHeight="12.75"/>
  <cols>
    <col min="1" max="1" width="1.83203125" style="0" customWidth="1"/>
    <col min="2" max="2" width="24.66015625" style="0" customWidth="1"/>
    <col min="3" max="3" width="14.66015625" style="21" customWidth="1"/>
    <col min="4" max="5" width="10.33203125" style="0" customWidth="1"/>
  </cols>
  <sheetData>
    <row r="1" ht="12.75">
      <c r="A1" s="7" t="s">
        <v>350</v>
      </c>
    </row>
    <row r="2" ht="12.75">
      <c r="A2" s="7"/>
    </row>
    <row r="3" ht="12.75">
      <c r="A3" s="7" t="s">
        <v>351</v>
      </c>
    </row>
    <row r="5" ht="12.75">
      <c r="C5" s="21" t="s">
        <v>93</v>
      </c>
    </row>
    <row r="6" spans="1:3" ht="12.75">
      <c r="A6" s="26" t="s">
        <v>352</v>
      </c>
      <c r="B6" s="17" t="s">
        <v>228</v>
      </c>
      <c r="C6" s="21">
        <v>-1650111.41</v>
      </c>
    </row>
    <row r="7" spans="1:3" ht="12.75">
      <c r="A7" s="26" t="s">
        <v>352</v>
      </c>
      <c r="B7" s="17" t="s">
        <v>230</v>
      </c>
      <c r="C7" s="21">
        <v>-2621904.55</v>
      </c>
    </row>
    <row r="8" spans="1:3" ht="12.75">
      <c r="A8" s="26" t="s">
        <v>352</v>
      </c>
      <c r="B8" s="17" t="s">
        <v>231</v>
      </c>
      <c r="C8" s="21">
        <v>-1996064.85</v>
      </c>
    </row>
    <row r="9" spans="1:3" ht="12.75">
      <c r="A9" s="26" t="s">
        <v>352</v>
      </c>
      <c r="B9" s="17" t="s">
        <v>232</v>
      </c>
      <c r="C9" s="21">
        <v>-1260175.3</v>
      </c>
    </row>
    <row r="10" spans="1:3" ht="12.75">
      <c r="A10" s="26" t="s">
        <v>352</v>
      </c>
      <c r="B10" s="17" t="s">
        <v>233</v>
      </c>
      <c r="C10" s="21">
        <v>-2038762.83</v>
      </c>
    </row>
    <row r="11" spans="1:3" ht="12.75">
      <c r="A11" s="26" t="s">
        <v>352</v>
      </c>
      <c r="B11" s="17" t="s">
        <v>234</v>
      </c>
      <c r="C11" s="21">
        <v>-3036369</v>
      </c>
    </row>
    <row r="12" spans="1:3" ht="12.75">
      <c r="A12" s="26" t="s">
        <v>352</v>
      </c>
      <c r="B12" s="17" t="s">
        <v>235</v>
      </c>
      <c r="C12" s="21">
        <v>-2603882.3</v>
      </c>
    </row>
    <row r="13" spans="1:3" ht="12.75">
      <c r="A13" s="26" t="s">
        <v>352</v>
      </c>
      <c r="B13" s="17" t="s">
        <v>236</v>
      </c>
      <c r="C13" s="21">
        <v>-1060150.23</v>
      </c>
    </row>
    <row r="14" spans="1:3" ht="12.75">
      <c r="A14" s="26" t="s">
        <v>352</v>
      </c>
      <c r="B14" s="17" t="s">
        <v>237</v>
      </c>
      <c r="C14" s="21">
        <v>-2053669.19</v>
      </c>
    </row>
    <row r="15" spans="1:3" ht="12.75">
      <c r="A15" s="26" t="s">
        <v>352</v>
      </c>
      <c r="B15" s="17" t="s">
        <v>238</v>
      </c>
      <c r="C15" s="21">
        <v>-1671784.75</v>
      </c>
    </row>
    <row r="16" spans="1:3" ht="12.75">
      <c r="A16" s="26" t="s">
        <v>352</v>
      </c>
      <c r="B16" s="17" t="s">
        <v>239</v>
      </c>
      <c r="C16" s="21">
        <v>-1863115.24</v>
      </c>
    </row>
    <row r="17" spans="1:3" ht="12.75">
      <c r="A17" s="26" t="s">
        <v>352</v>
      </c>
      <c r="B17" s="17" t="s">
        <v>240</v>
      </c>
      <c r="C17" s="68">
        <v>-2049799.38</v>
      </c>
    </row>
    <row r="18" spans="2:3" ht="12.75">
      <c r="B18" s="17" t="s">
        <v>353</v>
      </c>
      <c r="C18" s="21">
        <f>SUM(C6:C17)</f>
        <v>-23905789.03</v>
      </c>
    </row>
    <row r="19" spans="1:3" ht="12.75">
      <c r="A19" s="26" t="s">
        <v>352</v>
      </c>
      <c r="B19" s="17" t="s">
        <v>354</v>
      </c>
      <c r="C19" s="21">
        <v>-32810992</v>
      </c>
    </row>
    <row r="20" spans="2:3" ht="13.5" thickBot="1">
      <c r="B20" s="17" t="s">
        <v>355</v>
      </c>
      <c r="C20" s="22">
        <f>+C19-C18</f>
        <v>-8905202.969999999</v>
      </c>
    </row>
    <row r="21" ht="13.5" thickBot="1"/>
    <row r="22" spans="2:3" ht="13.5" thickBot="1">
      <c r="B22" s="17" t="s">
        <v>356</v>
      </c>
      <c r="C22" s="69">
        <f>+C20*0.2968</f>
        <v>-2643064.2414959995</v>
      </c>
    </row>
    <row r="25" spans="2:4" ht="12.75">
      <c r="B25" t="s">
        <v>357</v>
      </c>
      <c r="D25" s="5">
        <f>-C22</f>
        <v>2643064.2414959995</v>
      </c>
    </row>
    <row r="27" spans="2:5" ht="12.75">
      <c r="B27" t="s">
        <v>358</v>
      </c>
      <c r="E27" s="5">
        <f>+D25</f>
        <v>2643064.2414959995</v>
      </c>
    </row>
    <row r="29" ht="12.75">
      <c r="B29" s="8" t="s">
        <v>359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K23"/>
  <sheetViews>
    <sheetView workbookViewId="0" topLeftCell="B3">
      <selection activeCell="I19" sqref="I19"/>
    </sheetView>
  </sheetViews>
  <sheetFormatPr defaultColWidth="9.33203125" defaultRowHeight="12.75"/>
  <cols>
    <col min="1" max="1" width="37.83203125" style="0" customWidth="1"/>
    <col min="2" max="2" width="3" style="0" customWidth="1"/>
    <col min="3" max="3" width="14.5" style="21" customWidth="1"/>
    <col min="4" max="4" width="3" style="0" customWidth="1"/>
    <col min="5" max="5" width="14.5" style="21" customWidth="1"/>
    <col min="6" max="6" width="2.83203125" style="0" customWidth="1"/>
    <col min="7" max="7" width="13.5" style="0" customWidth="1"/>
    <col min="8" max="8" width="2.33203125" style="0" customWidth="1"/>
    <col min="9" max="9" width="8.33203125" style="0" customWidth="1"/>
    <col min="10" max="10" width="2.5" style="0" customWidth="1"/>
    <col min="11" max="11" width="12" style="0" customWidth="1"/>
  </cols>
  <sheetData>
    <row r="2" ht="12.75">
      <c r="A2" s="7" t="s">
        <v>403</v>
      </c>
    </row>
    <row r="4" ht="12.75">
      <c r="A4" s="7" t="s">
        <v>345</v>
      </c>
    </row>
    <row r="5" spans="3:11" ht="12.75">
      <c r="C5" s="43" t="s">
        <v>396</v>
      </c>
      <c r="D5" s="20"/>
      <c r="E5" s="43" t="s">
        <v>395</v>
      </c>
      <c r="F5" s="20"/>
      <c r="G5" s="20" t="s">
        <v>186</v>
      </c>
      <c r="H5" s="20"/>
      <c r="I5" s="20" t="s">
        <v>187</v>
      </c>
      <c r="J5" s="20"/>
      <c r="K5" s="20" t="s">
        <v>399</v>
      </c>
    </row>
    <row r="7" spans="1:11" ht="12.75">
      <c r="A7" t="s">
        <v>188</v>
      </c>
      <c r="C7" s="45">
        <v>32364500</v>
      </c>
      <c r="D7" s="45"/>
      <c r="E7" s="45">
        <v>5606250</v>
      </c>
      <c r="F7" s="45"/>
      <c r="G7" s="45">
        <v>12000</v>
      </c>
      <c r="H7" s="45"/>
      <c r="I7" s="45">
        <v>20410</v>
      </c>
      <c r="K7" s="5">
        <f>+C7+E7+G7+I7</f>
        <v>38003160</v>
      </c>
    </row>
    <row r="9" spans="1:11" ht="12.75">
      <c r="A9" t="s">
        <v>189</v>
      </c>
      <c r="C9" s="2" t="e">
        <f>SUM(C10:C14)</f>
        <v>#REF!</v>
      </c>
      <c r="E9" s="2" t="e">
        <f>SUM(E10:E14)</f>
        <v>#REF!</v>
      </c>
      <c r="G9" s="2">
        <f>SUM(G10:G14)</f>
        <v>-12000</v>
      </c>
      <c r="I9" s="2">
        <f>SUM(I10:I14)</f>
        <v>0</v>
      </c>
      <c r="K9" s="5" t="e">
        <f>+C9+E9+G9+I9</f>
        <v>#REF!</v>
      </c>
    </row>
    <row r="10" spans="1:11" ht="12.75">
      <c r="A10" s="26" t="s">
        <v>190</v>
      </c>
      <c r="C10" s="54">
        <v>17332294</v>
      </c>
      <c r="D10" s="55"/>
      <c r="E10" s="56">
        <f>19389669+676114-117439</f>
        <v>19948344</v>
      </c>
      <c r="F10" s="55"/>
      <c r="G10" s="57">
        <v>-12000</v>
      </c>
      <c r="H10" s="55"/>
      <c r="I10" s="57">
        <v>0</v>
      </c>
      <c r="J10" s="55"/>
      <c r="K10" s="58">
        <f>+C10+E10+G10+I10</f>
        <v>37268638</v>
      </c>
    </row>
    <row r="11" spans="1:11" ht="12.75">
      <c r="A11" s="26" t="s">
        <v>193</v>
      </c>
      <c r="C11" s="59">
        <f>-(3030453+6620982.01*0.4254)-364242</f>
        <v>-6211260.747053999</v>
      </c>
      <c r="D11" s="60"/>
      <c r="E11" s="61">
        <f>-8142755.324008-686195</f>
        <v>-8828950.324008</v>
      </c>
      <c r="F11" s="60"/>
      <c r="G11" s="62"/>
      <c r="H11" s="60"/>
      <c r="I11" s="62"/>
      <c r="J11" s="60"/>
      <c r="K11" s="63">
        <f>+C11+E11+G11+I11</f>
        <v>-15040211.071061999</v>
      </c>
    </row>
    <row r="12" spans="1:11" ht="12.75">
      <c r="A12" s="26" t="s">
        <v>335</v>
      </c>
      <c r="C12" s="59">
        <v>-11380936</v>
      </c>
      <c r="D12" s="60"/>
      <c r="E12" s="61">
        <v>-7781276</v>
      </c>
      <c r="F12" s="60"/>
      <c r="G12" s="62"/>
      <c r="H12" s="60"/>
      <c r="I12" s="62"/>
      <c r="J12" s="60"/>
      <c r="K12" s="63">
        <f>+C12+E12+G12+I12</f>
        <v>-19162212</v>
      </c>
    </row>
    <row r="13" spans="1:11" ht="12.75">
      <c r="A13" s="26" t="s">
        <v>362</v>
      </c>
      <c r="C13" s="59" t="e">
        <f>-#REF!+1</f>
        <v>#REF!</v>
      </c>
      <c r="D13" s="60"/>
      <c r="E13" s="61" t="e">
        <f>-#REF!-#REF!</f>
        <v>#REF!</v>
      </c>
      <c r="F13" s="60"/>
      <c r="G13" s="62"/>
      <c r="H13" s="60"/>
      <c r="I13" s="62"/>
      <c r="J13" s="60"/>
      <c r="K13" s="63"/>
    </row>
    <row r="14" spans="1:11" ht="12.75">
      <c r="A14" s="26" t="s">
        <v>191</v>
      </c>
      <c r="C14" s="64" t="e">
        <f>-#REF!</f>
        <v>#REF!</v>
      </c>
      <c r="D14" s="65"/>
      <c r="E14" s="66" t="e">
        <f>-#REF!-#REF!</f>
        <v>#REF!</v>
      </c>
      <c r="F14" s="65"/>
      <c r="G14" s="66"/>
      <c r="H14" s="65"/>
      <c r="I14" s="66"/>
      <c r="J14" s="65"/>
      <c r="K14" s="67" t="e">
        <f>+C14+E14+G14+I14</f>
        <v>#REF!</v>
      </c>
    </row>
    <row r="15" spans="1:9" ht="12.75">
      <c r="A15" s="26"/>
      <c r="C15" s="12"/>
      <c r="E15" s="2"/>
      <c r="G15" s="2"/>
      <c r="I15" s="2"/>
    </row>
    <row r="16" spans="1:11" ht="12.75">
      <c r="A16" t="s">
        <v>192</v>
      </c>
      <c r="C16" s="12">
        <v>0</v>
      </c>
      <c r="E16" s="12">
        <f>11653453-203863+253860-781707</f>
        <v>10921743</v>
      </c>
      <c r="G16" s="2">
        <v>0</v>
      </c>
      <c r="I16" s="2">
        <v>0</v>
      </c>
      <c r="K16" s="5">
        <f>+C16+E16+G16+I16</f>
        <v>10921743</v>
      </c>
    </row>
    <row r="17" spans="1:11" ht="12.75">
      <c r="A17" t="s">
        <v>194</v>
      </c>
      <c r="C17" s="2">
        <v>-4138600</v>
      </c>
      <c r="E17" s="2"/>
      <c r="K17" s="5">
        <f>+C17+E17+G17+I17</f>
        <v>-4138600</v>
      </c>
    </row>
    <row r="18" spans="3:11" ht="13.5" thickBot="1">
      <c r="C18" s="3" t="e">
        <f>+C7+C9+C16+C17</f>
        <v>#REF!</v>
      </c>
      <c r="D18" s="5"/>
      <c r="E18" s="3" t="e">
        <f>+E7+E9+E16+E17</f>
        <v>#REF!</v>
      </c>
      <c r="F18" s="5"/>
      <c r="G18" s="3">
        <f>+G7+G9+G16</f>
        <v>0</v>
      </c>
      <c r="H18" s="5"/>
      <c r="I18" s="3">
        <f>+I7+I9+I16</f>
        <v>20410</v>
      </c>
      <c r="K18" s="3" t="e">
        <f>+K7+K9+K16+K17</f>
        <v>#REF!</v>
      </c>
    </row>
    <row r="20" spans="1:5" ht="12.75">
      <c r="A20" t="s">
        <v>372</v>
      </c>
      <c r="C20" s="2" t="e">
        <f>+C14</f>
        <v>#REF!</v>
      </c>
      <c r="D20" s="2"/>
      <c r="E20" s="2" t="e">
        <f>+E14</f>
        <v>#REF!</v>
      </c>
    </row>
    <row r="23" ht="12.75">
      <c r="A23" s="7" t="s">
        <v>372</v>
      </c>
    </row>
  </sheetData>
  <printOptions gridLines="1"/>
  <pageMargins left="0.75" right="0.75" top="1" bottom="1" header="0.5" footer="0.5"/>
  <pageSetup horizontalDpi="600" verticalDpi="60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12"/>
  <sheetViews>
    <sheetView workbookViewId="0" topLeftCell="A1">
      <selection activeCell="F12" sqref="F12"/>
    </sheetView>
  </sheetViews>
  <sheetFormatPr defaultColWidth="9.33203125" defaultRowHeight="12.75"/>
  <cols>
    <col min="1" max="1" width="16.66015625" style="0" customWidth="1"/>
    <col min="4" max="4" width="10.33203125" style="0" customWidth="1"/>
  </cols>
  <sheetData>
    <row r="1" ht="12.75">
      <c r="A1" s="7" t="s">
        <v>401</v>
      </c>
    </row>
    <row r="2" ht="12.75">
      <c r="A2" s="7"/>
    </row>
    <row r="3" ht="12.75">
      <c r="A3" s="7" t="s">
        <v>280</v>
      </c>
    </row>
    <row r="5" spans="2:4" ht="25.5">
      <c r="B5" s="40" t="s">
        <v>286</v>
      </c>
      <c r="C5" s="40" t="s">
        <v>287</v>
      </c>
      <c r="D5" s="40" t="s">
        <v>288</v>
      </c>
    </row>
    <row r="6" ht="12.75">
      <c r="A6" s="11"/>
    </row>
    <row r="7" spans="1:4" ht="12.75">
      <c r="A7" s="26" t="s">
        <v>281</v>
      </c>
      <c r="B7" s="2">
        <f>390+537+300</f>
        <v>1227</v>
      </c>
      <c r="C7" s="21">
        <v>52</v>
      </c>
      <c r="D7" s="51">
        <f>+B7*C7</f>
        <v>63804</v>
      </c>
    </row>
    <row r="8" spans="1:4" ht="12.75">
      <c r="A8" s="26" t="s">
        <v>282</v>
      </c>
      <c r="B8" s="2">
        <f>33+38</f>
        <v>71</v>
      </c>
      <c r="C8" s="21">
        <v>61.16</v>
      </c>
      <c r="D8" s="51">
        <f>+B8*C8</f>
        <v>4342.36</v>
      </c>
    </row>
    <row r="9" spans="1:4" ht="12.75">
      <c r="A9" s="26" t="s">
        <v>283</v>
      </c>
      <c r="B9" s="2">
        <f>274+455+110</f>
        <v>839</v>
      </c>
      <c r="C9" s="21">
        <v>34.43</v>
      </c>
      <c r="D9" s="51">
        <f>+B9*C9</f>
        <v>28886.77</v>
      </c>
    </row>
    <row r="10" spans="1:4" ht="12.75">
      <c r="A10" s="26" t="s">
        <v>284</v>
      </c>
      <c r="B10" s="2">
        <f>299+455+160</f>
        <v>914</v>
      </c>
      <c r="C10" s="21">
        <v>6.67</v>
      </c>
      <c r="D10" s="51">
        <f>+B10*C10</f>
        <v>6096.38</v>
      </c>
    </row>
    <row r="11" spans="1:4" ht="12.75">
      <c r="A11" s="26" t="s">
        <v>285</v>
      </c>
      <c r="B11" s="2">
        <f>114+83+4122</f>
        <v>4319</v>
      </c>
      <c r="C11" s="21">
        <v>0.7</v>
      </c>
      <c r="D11" s="51">
        <f>+B11*C11</f>
        <v>3023.2999999999997</v>
      </c>
    </row>
    <row r="12" spans="1:4" ht="13.5" thickBot="1">
      <c r="A12" s="15" t="s">
        <v>399</v>
      </c>
      <c r="D12" s="52">
        <f>SUM(D7:D11)</f>
        <v>106152.81000000001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16"/>
  <sheetViews>
    <sheetView workbookViewId="0" topLeftCell="A1">
      <selection activeCell="C4" sqref="C4"/>
    </sheetView>
  </sheetViews>
  <sheetFormatPr defaultColWidth="9.33203125" defaultRowHeight="12.75"/>
  <cols>
    <col min="1" max="1" width="2.33203125" style="0" customWidth="1"/>
    <col min="2" max="2" width="43.83203125" style="0" customWidth="1"/>
    <col min="3" max="3" width="10.33203125" style="0" customWidth="1"/>
  </cols>
  <sheetData>
    <row r="1" ht="12.75">
      <c r="A1" t="s">
        <v>100</v>
      </c>
    </row>
    <row r="2" ht="12.75">
      <c r="B2" t="s">
        <v>101</v>
      </c>
    </row>
    <row r="4" ht="12.75">
      <c r="A4" s="7" t="s">
        <v>90</v>
      </c>
    </row>
    <row r="6" ht="12.75">
      <c r="A6" t="s">
        <v>91</v>
      </c>
    </row>
    <row r="7" ht="12.75">
      <c r="A7" t="s">
        <v>92</v>
      </c>
    </row>
    <row r="9" ht="12.75">
      <c r="C9" s="15" t="s">
        <v>93</v>
      </c>
    </row>
    <row r="10" spans="2:3" ht="12.75">
      <c r="B10" t="s">
        <v>94</v>
      </c>
      <c r="C10" s="2">
        <v>47269</v>
      </c>
    </row>
    <row r="11" spans="2:3" ht="12.75">
      <c r="B11" t="s">
        <v>95</v>
      </c>
      <c r="C11" s="4">
        <v>-1625</v>
      </c>
    </row>
    <row r="12" spans="2:3" ht="12.75">
      <c r="B12" t="s">
        <v>96</v>
      </c>
      <c r="C12" s="5">
        <f>SUM(C10:C11)</f>
        <v>45644</v>
      </c>
    </row>
    <row r="13" spans="2:3" ht="12.75">
      <c r="B13" t="s">
        <v>97</v>
      </c>
      <c r="C13" s="4">
        <v>54356</v>
      </c>
    </row>
    <row r="14" ht="12.75">
      <c r="C14" s="5">
        <f>+C12+C13</f>
        <v>100000</v>
      </c>
    </row>
    <row r="15" spans="2:3" ht="12.75">
      <c r="B15" t="s">
        <v>98</v>
      </c>
      <c r="C15" s="2">
        <v>-7290</v>
      </c>
    </row>
    <row r="16" spans="2:3" ht="13.5" thickBot="1">
      <c r="B16" t="s">
        <v>99</v>
      </c>
      <c r="C16" s="19">
        <f>+C14+C15</f>
        <v>92710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39"/>
  <sheetViews>
    <sheetView workbookViewId="0" topLeftCell="A1">
      <selection activeCell="B10" sqref="B10"/>
    </sheetView>
  </sheetViews>
  <sheetFormatPr defaultColWidth="9.33203125" defaultRowHeight="12.75"/>
  <cols>
    <col min="1" max="1" width="28" style="0" customWidth="1"/>
    <col min="2" max="2" width="12.33203125" style="12" customWidth="1"/>
    <col min="3" max="3" width="2" style="12" customWidth="1"/>
    <col min="4" max="4" width="12.33203125" style="12" customWidth="1"/>
    <col min="5" max="5" width="2.66015625" style="0" customWidth="1"/>
  </cols>
  <sheetData>
    <row r="1" ht="12.75">
      <c r="A1" s="7" t="s">
        <v>403</v>
      </c>
    </row>
    <row r="2" ht="12.75">
      <c r="A2" s="7"/>
    </row>
    <row r="3" ht="12.75">
      <c r="A3" s="7" t="s">
        <v>69</v>
      </c>
    </row>
    <row r="4" ht="12.75">
      <c r="A4" s="7"/>
    </row>
    <row r="5" spans="2:4" ht="12.75">
      <c r="B5" s="16" t="s">
        <v>396</v>
      </c>
      <c r="C5" s="16" t="s">
        <v>372</v>
      </c>
      <c r="D5" s="16" t="s">
        <v>395</v>
      </c>
    </row>
    <row r="7" spans="1:4" ht="12.75">
      <c r="A7" t="s">
        <v>61</v>
      </c>
      <c r="B7" s="12">
        <v>32364500</v>
      </c>
      <c r="D7" s="12">
        <v>5606250</v>
      </c>
    </row>
    <row r="9" ht="12.75">
      <c r="A9" t="s">
        <v>62</v>
      </c>
    </row>
    <row r="10" spans="1:4" ht="12.75">
      <c r="A10" s="26" t="s">
        <v>63</v>
      </c>
      <c r="B10" s="32">
        <v>17332294</v>
      </c>
      <c r="D10" s="32">
        <v>20065783</v>
      </c>
    </row>
    <row r="11" spans="1:4" ht="12.75">
      <c r="A11" s="26" t="s">
        <v>64</v>
      </c>
      <c r="B11" s="35">
        <v>-3030453</v>
      </c>
      <c r="D11" s="35">
        <v>-4728371</v>
      </c>
    </row>
    <row r="12" spans="1:4" ht="12.75">
      <c r="A12" s="26" t="s">
        <v>71</v>
      </c>
      <c r="B12" s="33">
        <v>0</v>
      </c>
      <c r="D12" s="33">
        <v>-117439</v>
      </c>
    </row>
    <row r="13" spans="2:4" ht="12.75">
      <c r="B13" s="12">
        <f>SUM(B10:B12)</f>
        <v>14301841</v>
      </c>
      <c r="D13" s="12">
        <f>SUM(D10:D12)</f>
        <v>15219973</v>
      </c>
    </row>
    <row r="15" ht="12.75">
      <c r="A15" t="s">
        <v>65</v>
      </c>
    </row>
    <row r="16" spans="1:4" ht="12.75">
      <c r="A16" s="26" t="s">
        <v>70</v>
      </c>
      <c r="B16" s="32">
        <v>0</v>
      </c>
      <c r="D16" s="32">
        <f>11653453-203863</f>
        <v>11449590</v>
      </c>
    </row>
    <row r="17" spans="1:4" ht="12.75">
      <c r="A17" s="26" t="s">
        <v>71</v>
      </c>
      <c r="B17" s="33">
        <v>0</v>
      </c>
      <c r="D17" s="33">
        <v>-122129</v>
      </c>
    </row>
    <row r="18" spans="1:4" ht="12.75">
      <c r="A18" s="26"/>
      <c r="B18" s="12">
        <f>SUM(B16:B17)</f>
        <v>0</v>
      </c>
      <c r="D18" s="12">
        <f>SUM(D16:D17)</f>
        <v>11327461</v>
      </c>
    </row>
    <row r="19" ht="12.75">
      <c r="A19" s="26"/>
    </row>
    <row r="20" spans="1:4" ht="12.75">
      <c r="A20" t="s">
        <v>72</v>
      </c>
      <c r="B20" s="12">
        <v>0</v>
      </c>
      <c r="D20" s="12">
        <v>375989</v>
      </c>
    </row>
    <row r="22" spans="2:4" ht="13.5" thickBot="1">
      <c r="B22" s="27">
        <f>+B7+B13+B18+B20</f>
        <v>46666341</v>
      </c>
      <c r="D22" s="27">
        <f>+D7+D13+D18+D20</f>
        <v>32529673</v>
      </c>
    </row>
    <row r="24" spans="1:4" ht="12.75">
      <c r="A24" t="s">
        <v>66</v>
      </c>
      <c r="B24" s="12">
        <v>42163099</v>
      </c>
      <c r="D24" s="12">
        <v>33408478</v>
      </c>
    </row>
    <row r="25" spans="1:4" ht="12.75">
      <c r="A25" t="s">
        <v>67</v>
      </c>
      <c r="B25" s="12">
        <v>4139000</v>
      </c>
      <c r="D25" s="12">
        <v>-1565000</v>
      </c>
    </row>
    <row r="26" spans="2:4" ht="13.5" thickBot="1">
      <c r="B26" s="27">
        <f>SUM(B24:B25)</f>
        <v>46302099</v>
      </c>
      <c r="D26" s="27">
        <f>SUM(D24:D25)</f>
        <v>31843478</v>
      </c>
    </row>
    <row r="28" spans="1:4" ht="12.75">
      <c r="A28" t="s">
        <v>68</v>
      </c>
      <c r="B28" s="34">
        <f>+B22-B26</f>
        <v>364242</v>
      </c>
      <c r="D28" s="34">
        <f>+D22-D26</f>
        <v>686195</v>
      </c>
    </row>
    <row r="31" ht="12.75">
      <c r="A31" s="11" t="s">
        <v>75</v>
      </c>
    </row>
    <row r="33" spans="2:6" ht="38.25">
      <c r="B33" s="36" t="s">
        <v>74</v>
      </c>
      <c r="C33" s="37"/>
      <c r="D33" s="36" t="s">
        <v>73</v>
      </c>
      <c r="F33" s="40" t="s">
        <v>79</v>
      </c>
    </row>
    <row r="35" spans="1:4" ht="13.5" thickBot="1">
      <c r="A35" t="s">
        <v>76</v>
      </c>
      <c r="B35" s="38">
        <f>+D35-1655402</f>
        <v>110906856</v>
      </c>
      <c r="D35" s="38">
        <v>112562258</v>
      </c>
    </row>
    <row r="37" spans="1:4" ht="12.75">
      <c r="A37" t="s">
        <v>77</v>
      </c>
      <c r="B37" s="39">
        <v>0.3</v>
      </c>
      <c r="C37" s="39"/>
      <c r="D37" s="39">
        <v>0.2968</v>
      </c>
    </row>
    <row r="39" spans="1:6" ht="13.5" thickBot="1">
      <c r="A39" t="s">
        <v>78</v>
      </c>
      <c r="B39" s="38">
        <f>+B35*B37</f>
        <v>33272056.799999997</v>
      </c>
      <c r="D39" s="38">
        <f>+D35*D37</f>
        <v>33408478.1744</v>
      </c>
      <c r="F39" s="41">
        <f>+D39-B39</f>
        <v>136421.37440000474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C33"/>
  <sheetViews>
    <sheetView workbookViewId="0" topLeftCell="A13">
      <selection activeCell="A1" sqref="A1"/>
    </sheetView>
  </sheetViews>
  <sheetFormatPr defaultColWidth="9.33203125" defaultRowHeight="12.75"/>
  <cols>
    <col min="1" max="1" width="48.16015625" style="0" customWidth="1"/>
    <col min="2" max="2" width="13" style="2" customWidth="1"/>
    <col min="3" max="3" width="10.33203125" style="2" customWidth="1"/>
  </cols>
  <sheetData>
    <row r="1" ht="12.75">
      <c r="A1" s="1" t="e">
        <f>+#REF!</f>
        <v>#REF!</v>
      </c>
    </row>
    <row r="3" ht="12.75">
      <c r="A3" s="7" t="s">
        <v>244</v>
      </c>
    </row>
    <row r="5" spans="2:3" ht="12.75">
      <c r="B5" s="16" t="s">
        <v>102</v>
      </c>
      <c r="C5" s="16" t="s">
        <v>80</v>
      </c>
    </row>
    <row r="7" spans="1:3" ht="12.75">
      <c r="A7" t="s">
        <v>245</v>
      </c>
      <c r="B7" s="2">
        <v>2256825.26</v>
      </c>
      <c r="C7" s="2">
        <f>2150717.04+96675</f>
        <v>2247392.04</v>
      </c>
    </row>
    <row r="8" spans="1:3" ht="12.75">
      <c r="A8" t="s">
        <v>246</v>
      </c>
      <c r="B8" s="4">
        <v>1770005.8</v>
      </c>
      <c r="C8" s="2">
        <v>931582</v>
      </c>
    </row>
    <row r="9" spans="2:3" ht="12.75">
      <c r="B9" s="2">
        <f>+B7+B8</f>
        <v>4026831.0599999996</v>
      </c>
      <c r="C9" s="2">
        <f>+C7+C8</f>
        <v>3178974.04</v>
      </c>
    </row>
    <row r="10" spans="1:3" ht="12.75">
      <c r="A10" t="s">
        <v>247</v>
      </c>
      <c r="B10" s="2">
        <f>4093889.15+215467.85</f>
        <v>4309357</v>
      </c>
      <c r="C10" s="2">
        <v>2154678.5</v>
      </c>
    </row>
    <row r="11" spans="1:3" ht="13.5" thickBot="1">
      <c r="A11" t="s">
        <v>248</v>
      </c>
      <c r="B11" s="3">
        <f>+B9-B10</f>
        <v>-282525.9400000004</v>
      </c>
      <c r="C11" s="3">
        <f>+C9-C10</f>
        <v>1024295.54</v>
      </c>
    </row>
    <row r="15" spans="1:3" ht="13.5" thickBot="1">
      <c r="A15" t="s">
        <v>269</v>
      </c>
      <c r="B15" s="50">
        <f>4093889.15-2154678.5</f>
        <v>1939210.65</v>
      </c>
      <c r="C15" s="50">
        <v>2154678.5</v>
      </c>
    </row>
    <row r="17" spans="1:3" ht="13.5" thickBot="1">
      <c r="A17" t="s">
        <v>270</v>
      </c>
      <c r="B17" s="50">
        <f>2323883.35-1223096.5</f>
        <v>1100786.85</v>
      </c>
      <c r="C17" s="50">
        <v>1223096.5</v>
      </c>
    </row>
    <row r="19" spans="1:3" ht="13.5" thickBot="1">
      <c r="A19" t="s">
        <v>249</v>
      </c>
      <c r="B19" s="50">
        <v>0</v>
      </c>
      <c r="C19" s="50">
        <v>0</v>
      </c>
    </row>
    <row r="21" spans="1:3" ht="13.5" thickBot="1">
      <c r="A21" t="s">
        <v>250</v>
      </c>
      <c r="B21" s="50">
        <v>0</v>
      </c>
      <c r="C21" s="50">
        <v>0</v>
      </c>
    </row>
    <row r="24" ht="12.75">
      <c r="A24" s="11" t="s">
        <v>271</v>
      </c>
    </row>
    <row r="26" spans="1:2" ht="12.75">
      <c r="A26" t="s">
        <v>272</v>
      </c>
      <c r="B26" s="2">
        <v>194000</v>
      </c>
    </row>
    <row r="27" spans="1:3" ht="12.75">
      <c r="A27" t="s">
        <v>273</v>
      </c>
      <c r="C27" s="2">
        <f>+B26</f>
        <v>194000</v>
      </c>
    </row>
    <row r="28" ht="12.75">
      <c r="A28" s="8" t="s">
        <v>274</v>
      </c>
    </row>
    <row r="30" spans="1:2" ht="12.75">
      <c r="A30" t="s">
        <v>275</v>
      </c>
      <c r="B30" s="2">
        <v>168096.37</v>
      </c>
    </row>
    <row r="31" spans="1:2" ht="12.75">
      <c r="A31" t="s">
        <v>277</v>
      </c>
      <c r="B31" s="2">
        <f>15966.44+73796.88+24666.25</f>
        <v>114429.57</v>
      </c>
    </row>
    <row r="32" spans="1:3" ht="12.75">
      <c r="A32" t="s">
        <v>276</v>
      </c>
      <c r="C32" s="2">
        <v>282526</v>
      </c>
    </row>
    <row r="33" spans="1:2" ht="12.75">
      <c r="A33" s="8" t="s">
        <v>278</v>
      </c>
      <c r="B33" s="9" t="s">
        <v>372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workbookViewId="0" topLeftCell="A1">
      <pane xSplit="2" ySplit="5" topLeftCell="C20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12" sqref="D12"/>
    </sheetView>
  </sheetViews>
  <sheetFormatPr defaultColWidth="9.33203125" defaultRowHeight="12.75"/>
  <cols>
    <col min="1" max="1" width="4" style="0" customWidth="1"/>
    <col min="2" max="2" width="48.66015625" style="0" customWidth="1"/>
    <col min="3" max="3" width="9.33203125" style="2" customWidth="1"/>
    <col min="4" max="4" width="10.33203125" style="2" customWidth="1"/>
    <col min="5" max="6" width="8.83203125" style="2" customWidth="1"/>
    <col min="7" max="7" width="9.33203125" style="2" customWidth="1"/>
    <col min="8" max="8" width="8.33203125" style="2" customWidth="1"/>
    <col min="9" max="9" width="8.83203125" style="2" customWidth="1"/>
    <col min="10" max="10" width="9" style="2" customWidth="1"/>
    <col min="12" max="13" width="10.33203125" style="0" customWidth="1"/>
  </cols>
  <sheetData>
    <row r="1" ht="12.75">
      <c r="A1" s="7" t="s">
        <v>403</v>
      </c>
    </row>
    <row r="2" ht="12.75">
      <c r="A2" s="7"/>
    </row>
    <row r="3" ht="12.75">
      <c r="A3" s="7" t="s">
        <v>336</v>
      </c>
    </row>
    <row r="5" spans="3:13" s="15" customFormat="1" ht="12.75">
      <c r="C5" s="12" t="s">
        <v>390</v>
      </c>
      <c r="D5" s="12" t="s">
        <v>394</v>
      </c>
      <c r="E5" s="12" t="s">
        <v>150</v>
      </c>
      <c r="F5" s="10" t="s">
        <v>207</v>
      </c>
      <c r="G5" s="12" t="s">
        <v>151</v>
      </c>
      <c r="H5" s="10" t="s">
        <v>200</v>
      </c>
      <c r="I5" s="10" t="s">
        <v>373</v>
      </c>
      <c r="J5" s="10" t="s">
        <v>376</v>
      </c>
      <c r="K5" s="10" t="s">
        <v>60</v>
      </c>
      <c r="L5" s="10" t="s">
        <v>210</v>
      </c>
      <c r="M5" s="10" t="s">
        <v>399</v>
      </c>
    </row>
    <row r="7" spans="1:13" ht="12.75">
      <c r="A7">
        <v>1</v>
      </c>
      <c r="B7" t="s">
        <v>199</v>
      </c>
      <c r="C7" s="2">
        <v>724760.9</v>
      </c>
      <c r="D7" s="2">
        <v>7644</v>
      </c>
      <c r="E7" s="2">
        <v>203971.32</v>
      </c>
      <c r="F7" s="2">
        <v>0</v>
      </c>
      <c r="H7" s="2">
        <v>11831.16</v>
      </c>
      <c r="I7" s="2">
        <f>158101.37+38079.04</f>
        <v>196180.41</v>
      </c>
      <c r="J7" s="2">
        <v>5000</v>
      </c>
      <c r="K7" s="9"/>
      <c r="L7" s="9"/>
      <c r="M7" s="5">
        <f>SUM(C7:L7)</f>
        <v>1149387.79</v>
      </c>
    </row>
    <row r="8" spans="1:13" ht="12.75">
      <c r="A8">
        <v>2</v>
      </c>
      <c r="B8" t="s">
        <v>307</v>
      </c>
      <c r="C8" s="2">
        <v>4598</v>
      </c>
      <c r="D8" s="2">
        <v>1400</v>
      </c>
      <c r="E8" s="2">
        <v>4320</v>
      </c>
      <c r="F8" s="2">
        <v>1900</v>
      </c>
      <c r="G8" s="2">
        <v>10510</v>
      </c>
      <c r="I8" s="2">
        <v>2480</v>
      </c>
      <c r="M8" s="5">
        <f>SUM(C8:L8)</f>
        <v>25208</v>
      </c>
    </row>
    <row r="9" spans="1:13" ht="12.75">
      <c r="A9">
        <v>3</v>
      </c>
      <c r="B9" t="s">
        <v>308</v>
      </c>
      <c r="C9" s="2">
        <v>2849</v>
      </c>
      <c r="D9" s="2">
        <f>17528.29+751.1</f>
        <v>18279.39</v>
      </c>
      <c r="E9" s="2">
        <f>5833.5+14991</f>
        <v>20824.5</v>
      </c>
      <c r="F9" s="2">
        <f>2770+3000</f>
        <v>5770</v>
      </c>
      <c r="G9" s="2">
        <f>10933.77+28917.5+4000</f>
        <v>43851.270000000004</v>
      </c>
      <c r="I9" s="2">
        <v>18516.76</v>
      </c>
      <c r="K9">
        <v>31700</v>
      </c>
      <c r="M9" s="5">
        <f>SUM(C9:L9)</f>
        <v>141790.91999999998</v>
      </c>
    </row>
    <row r="10" spans="1:13" ht="12.75">
      <c r="A10">
        <v>4</v>
      </c>
      <c r="B10" t="s">
        <v>337</v>
      </c>
      <c r="C10" s="2">
        <v>0</v>
      </c>
      <c r="D10" s="2">
        <v>19957.69</v>
      </c>
      <c r="G10" s="2">
        <v>970.79</v>
      </c>
      <c r="I10" s="2">
        <v>168957.94</v>
      </c>
      <c r="M10" s="5">
        <f>SUM(C10:L10)</f>
        <v>189886.42</v>
      </c>
    </row>
    <row r="11" spans="3:13" ht="13.5" thickBot="1">
      <c r="C11" s="19">
        <f aca="true" t="shared" si="0" ref="C11:L11">SUM(C7:C10)</f>
        <v>732207.9</v>
      </c>
      <c r="D11" s="19">
        <f t="shared" si="0"/>
        <v>47281.08</v>
      </c>
      <c r="E11" s="19">
        <f t="shared" si="0"/>
        <v>229115.82</v>
      </c>
      <c r="F11" s="19">
        <f t="shared" si="0"/>
        <v>7670</v>
      </c>
      <c r="G11" s="19">
        <f t="shared" si="0"/>
        <v>55332.060000000005</v>
      </c>
      <c r="H11" s="19">
        <f t="shared" si="0"/>
        <v>11831.16</v>
      </c>
      <c r="I11" s="19">
        <f t="shared" si="0"/>
        <v>386135.11</v>
      </c>
      <c r="J11" s="19">
        <f t="shared" si="0"/>
        <v>5000</v>
      </c>
      <c r="K11" s="19">
        <f t="shared" si="0"/>
        <v>31700</v>
      </c>
      <c r="L11" s="19">
        <f t="shared" si="0"/>
        <v>0</v>
      </c>
      <c r="M11" s="19">
        <f>SUM(M7:M10)</f>
        <v>1506273.13</v>
      </c>
    </row>
    <row r="12" ht="12.75">
      <c r="A12" s="7" t="s">
        <v>340</v>
      </c>
    </row>
    <row r="14" spans="1:13" ht="12.75">
      <c r="A14" s="15">
        <v>1</v>
      </c>
      <c r="B14" t="s">
        <v>201</v>
      </c>
      <c r="C14" s="2">
        <f>37500+5625</f>
        <v>43125</v>
      </c>
      <c r="D14" s="2">
        <f>13000+7900</f>
        <v>20900</v>
      </c>
      <c r="E14" s="2">
        <f>11000+9150</f>
        <v>20150</v>
      </c>
      <c r="F14" s="2">
        <f>5625+5250</f>
        <v>10875</v>
      </c>
      <c r="G14" s="2">
        <f>10627+6127+225</f>
        <v>16979</v>
      </c>
      <c r="H14" s="2">
        <f>4376+5002</f>
        <v>9378</v>
      </c>
      <c r="I14" s="2">
        <f>10001+7001</f>
        <v>17002</v>
      </c>
      <c r="J14" s="2">
        <f>4376+4875</f>
        <v>9251</v>
      </c>
      <c r="K14">
        <f>500+3625</f>
        <v>4125</v>
      </c>
      <c r="L14" s="2">
        <f>1750+8130+2375+1750+1750+1750+750+1750+1250+2875</f>
        <v>24130</v>
      </c>
      <c r="M14" s="5">
        <f>SUM(C14:L14)</f>
        <v>175915</v>
      </c>
    </row>
    <row r="15" spans="1:13" ht="12.75">
      <c r="A15" s="15">
        <v>2</v>
      </c>
      <c r="B15" t="s">
        <v>202</v>
      </c>
      <c r="C15" s="2">
        <v>60000</v>
      </c>
      <c r="D15" s="2">
        <v>0</v>
      </c>
      <c r="G15" s="2">
        <v>15000</v>
      </c>
      <c r="H15" s="2">
        <v>2500</v>
      </c>
      <c r="M15" s="5">
        <f aca="true" t="shared" si="1" ref="M15:M25">SUM(C15:L15)</f>
        <v>77500</v>
      </c>
    </row>
    <row r="16" spans="1:13" ht="12.75">
      <c r="A16" s="15">
        <v>3</v>
      </c>
      <c r="B16" t="s">
        <v>203</v>
      </c>
      <c r="C16" s="2">
        <v>25197.11</v>
      </c>
      <c r="D16" s="2">
        <v>19175.43</v>
      </c>
      <c r="E16" s="2">
        <v>39343.23</v>
      </c>
      <c r="F16" s="2">
        <v>11204.64</v>
      </c>
      <c r="G16" s="2">
        <v>49037.25</v>
      </c>
      <c r="H16" s="2">
        <v>14948.85</v>
      </c>
      <c r="I16" s="2">
        <v>34177.7</v>
      </c>
      <c r="J16" s="2">
        <v>21314.83</v>
      </c>
      <c r="M16" s="5">
        <f t="shared" si="1"/>
        <v>214399.04000000004</v>
      </c>
    </row>
    <row r="17" spans="1:13" ht="12.75">
      <c r="A17" s="15">
        <v>4</v>
      </c>
      <c r="B17" t="s">
        <v>204</v>
      </c>
      <c r="C17" s="2">
        <f>4501+85.5+2901</f>
        <v>7487.5</v>
      </c>
      <c r="D17" s="2">
        <f>11299+759.5+2184</f>
        <v>14242.5</v>
      </c>
      <c r="E17" s="2">
        <f>3422+206+270</f>
        <v>3898</v>
      </c>
      <c r="F17" s="2">
        <f>525+43.9</f>
        <v>568.9</v>
      </c>
      <c r="G17" s="2">
        <f>6850+500.8+341</f>
        <v>7691.8</v>
      </c>
      <c r="H17" s="2">
        <v>2985.42</v>
      </c>
      <c r="I17" s="2">
        <f>3567+268.9+184</f>
        <v>4019.9</v>
      </c>
      <c r="J17" s="2">
        <f>2435+166.6+242</f>
        <v>2843.6</v>
      </c>
      <c r="M17" s="5">
        <f t="shared" si="1"/>
        <v>43737.62</v>
      </c>
    </row>
    <row r="18" spans="1:13" ht="12.75">
      <c r="A18" s="15">
        <v>5</v>
      </c>
      <c r="B18" t="s">
        <v>205</v>
      </c>
      <c r="C18" s="2">
        <f>15923.86+417.91</f>
        <v>16341.77</v>
      </c>
      <c r="D18" s="2">
        <f>44824+1056.14</f>
        <v>45880.14</v>
      </c>
      <c r="F18" s="2">
        <f>2265.25+1567.94</f>
        <v>3833.19</v>
      </c>
      <c r="G18" s="2">
        <f>27646.25+7597.63</f>
        <v>35243.88</v>
      </c>
      <c r="H18" s="2">
        <v>0</v>
      </c>
      <c r="I18" s="2">
        <f>14699.25+5315.93</f>
        <v>20015.18</v>
      </c>
      <c r="J18" s="2">
        <f>9425+1277</f>
        <v>10702</v>
      </c>
      <c r="M18" s="5">
        <f t="shared" si="1"/>
        <v>132016.16</v>
      </c>
    </row>
    <row r="19" spans="1:13" ht="12.75">
      <c r="A19" s="15">
        <v>6</v>
      </c>
      <c r="B19" t="s">
        <v>206</v>
      </c>
      <c r="D19" s="2">
        <v>1593087.77</v>
      </c>
      <c r="M19" s="5">
        <f t="shared" si="1"/>
        <v>1593087.77</v>
      </c>
    </row>
    <row r="20" spans="1:13" ht="12.75">
      <c r="A20" s="15">
        <v>7</v>
      </c>
      <c r="B20" t="s">
        <v>208</v>
      </c>
      <c r="C20" s="2">
        <v>0</v>
      </c>
      <c r="E20" s="2">
        <v>104423</v>
      </c>
      <c r="F20" s="2">
        <v>116015</v>
      </c>
      <c r="K20">
        <v>29700</v>
      </c>
      <c r="M20" s="5">
        <f t="shared" si="1"/>
        <v>250138</v>
      </c>
    </row>
    <row r="21" spans="1:13" ht="12.75">
      <c r="A21" s="15">
        <v>8</v>
      </c>
      <c r="B21" t="s">
        <v>309</v>
      </c>
      <c r="C21" s="2">
        <v>70200</v>
      </c>
      <c r="M21" s="5">
        <f t="shared" si="1"/>
        <v>70200</v>
      </c>
    </row>
    <row r="22" spans="1:13" ht="12.75">
      <c r="A22" s="15">
        <v>9</v>
      </c>
      <c r="B22" t="s">
        <v>209</v>
      </c>
      <c r="C22" s="2">
        <v>0</v>
      </c>
      <c r="E22" s="2">
        <v>32402.03</v>
      </c>
      <c r="G22" s="2">
        <v>56467.27</v>
      </c>
      <c r="I22" s="2">
        <v>27410.59</v>
      </c>
      <c r="M22" s="5">
        <f t="shared" si="1"/>
        <v>116279.88999999998</v>
      </c>
    </row>
    <row r="23" spans="1:13" ht="12.75">
      <c r="A23" s="15">
        <v>10</v>
      </c>
      <c r="B23" t="s">
        <v>306</v>
      </c>
      <c r="C23" s="2">
        <v>4802.2</v>
      </c>
      <c r="D23" s="2">
        <v>47838.08</v>
      </c>
      <c r="E23" s="2">
        <v>12966.19</v>
      </c>
      <c r="F23" s="2">
        <v>675.8</v>
      </c>
      <c r="G23" s="2">
        <v>6360.78</v>
      </c>
      <c r="H23" s="2">
        <v>1216.2</v>
      </c>
      <c r="I23" s="2">
        <f>1545.76+5315.93</f>
        <v>6861.6900000000005</v>
      </c>
      <c r="J23" s="2">
        <v>3000</v>
      </c>
      <c r="K23" s="9">
        <v>2499.5</v>
      </c>
      <c r="M23" s="5">
        <f t="shared" si="1"/>
        <v>86220.44</v>
      </c>
    </row>
    <row r="24" spans="1:13" ht="12.75">
      <c r="A24" s="15">
        <v>11</v>
      </c>
      <c r="B24" t="s">
        <v>339</v>
      </c>
      <c r="E24" s="2">
        <v>386673.7</v>
      </c>
      <c r="K24" s="9"/>
      <c r="M24" s="5">
        <f t="shared" si="1"/>
        <v>386673.7</v>
      </c>
    </row>
    <row r="25" spans="1:13" ht="12.75">
      <c r="A25" s="15">
        <v>12</v>
      </c>
      <c r="B25" t="s">
        <v>338</v>
      </c>
      <c r="C25" s="2">
        <v>0</v>
      </c>
      <c r="E25" s="2">
        <v>0</v>
      </c>
      <c r="G25" s="2">
        <v>17261.32</v>
      </c>
      <c r="H25" s="2">
        <v>7111.34</v>
      </c>
      <c r="J25" s="2">
        <v>19350</v>
      </c>
      <c r="M25" s="5">
        <f t="shared" si="1"/>
        <v>43722.66</v>
      </c>
    </row>
    <row r="26" spans="3:13" ht="13.5" thickBot="1">
      <c r="C26" s="3">
        <f aca="true" t="shared" si="2" ref="C26:M26">SUM(C14:C25)</f>
        <v>227153.58</v>
      </c>
      <c r="D26" s="3">
        <f t="shared" si="2"/>
        <v>1741123.9200000002</v>
      </c>
      <c r="E26" s="3">
        <f t="shared" si="2"/>
        <v>599856.15</v>
      </c>
      <c r="F26" s="3">
        <f t="shared" si="2"/>
        <v>143172.53</v>
      </c>
      <c r="G26" s="3">
        <f t="shared" si="2"/>
        <v>204041.3</v>
      </c>
      <c r="H26" s="3">
        <f t="shared" si="2"/>
        <v>38139.81</v>
      </c>
      <c r="I26" s="3">
        <f t="shared" si="2"/>
        <v>109487.06</v>
      </c>
      <c r="J26" s="3">
        <f t="shared" si="2"/>
        <v>66461.43</v>
      </c>
      <c r="K26" s="3">
        <f t="shared" si="2"/>
        <v>36324.5</v>
      </c>
      <c r="L26" s="3">
        <f t="shared" si="2"/>
        <v>24130</v>
      </c>
      <c r="M26" s="19">
        <f t="shared" si="2"/>
        <v>3189890.2800000003</v>
      </c>
    </row>
  </sheetData>
  <printOptions gridLines="1"/>
  <pageMargins left="0.75" right="0.75" top="1" bottom="1" header="0.5" footer="0.5"/>
  <pageSetup fitToHeight="1" fitToWidth="1"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D35"/>
  <sheetViews>
    <sheetView workbookViewId="0" topLeftCell="A1">
      <selection activeCell="G6" sqref="G6"/>
    </sheetView>
  </sheetViews>
  <sheetFormatPr defaultColWidth="9.33203125" defaultRowHeight="12.75"/>
  <cols>
    <col min="1" max="1" width="4.5" style="0" customWidth="1"/>
    <col min="2" max="2" width="39.16015625" style="0" customWidth="1"/>
    <col min="4" max="4" width="10.33203125" style="0" customWidth="1"/>
  </cols>
  <sheetData>
    <row r="1" ht="12.75">
      <c r="A1" s="7" t="s">
        <v>332</v>
      </c>
    </row>
    <row r="3" ht="12.75">
      <c r="C3" s="15" t="s">
        <v>397</v>
      </c>
    </row>
    <row r="4" spans="1:3" ht="12.75">
      <c r="A4">
        <v>1</v>
      </c>
      <c r="B4" t="s">
        <v>310</v>
      </c>
      <c r="C4" s="2">
        <v>130</v>
      </c>
    </row>
    <row r="5" spans="1:3" ht="12.75">
      <c r="A5">
        <v>2</v>
      </c>
      <c r="B5" t="s">
        <v>311</v>
      </c>
      <c r="C5" s="2" t="e">
        <f>+#REF!-Sheet4!C4</f>
        <v>#REF!</v>
      </c>
    </row>
    <row r="6" ht="13.5" thickBot="1">
      <c r="C6" s="3" t="e">
        <f>SUM(C4:C5)</f>
        <v>#REF!</v>
      </c>
    </row>
    <row r="8" spans="1:3" ht="13.5" thickBot="1">
      <c r="A8">
        <v>3</v>
      </c>
      <c r="B8" t="s">
        <v>312</v>
      </c>
      <c r="C8" s="50" t="e">
        <f>+#REF!</f>
        <v>#REF!</v>
      </c>
    </row>
    <row r="10" spans="1:2" ht="12.75">
      <c r="A10">
        <v>4</v>
      </c>
      <c r="B10" t="s">
        <v>313</v>
      </c>
    </row>
    <row r="11" spans="2:3" ht="12.75">
      <c r="B11" s="26" t="s">
        <v>314</v>
      </c>
      <c r="C11" s="2">
        <f>500+991+9</f>
        <v>1500</v>
      </c>
    </row>
    <row r="12" spans="2:3" ht="12.75">
      <c r="B12" s="26" t="s">
        <v>315</v>
      </c>
      <c r="C12" s="2">
        <v>1500</v>
      </c>
    </row>
    <row r="13" spans="2:3" ht="12.75">
      <c r="B13" s="26" t="s">
        <v>316</v>
      </c>
      <c r="C13" s="2">
        <v>800</v>
      </c>
    </row>
    <row r="14" spans="2:3" ht="12.75">
      <c r="B14" s="26" t="s">
        <v>317</v>
      </c>
      <c r="C14" s="2">
        <f>1979+3500+1000</f>
        <v>6479</v>
      </c>
    </row>
    <row r="15" ht="13.5" thickBot="1">
      <c r="C15" s="19">
        <f>SUM(C11:C14)</f>
        <v>10279</v>
      </c>
    </row>
    <row r="17" spans="1:3" ht="13.5" thickBot="1">
      <c r="A17">
        <v>5</v>
      </c>
      <c r="B17" t="s">
        <v>318</v>
      </c>
      <c r="C17" s="50" t="e">
        <f>+#REF!</f>
        <v>#REF!</v>
      </c>
    </row>
    <row r="19" spans="1:3" ht="13.5" thickBot="1">
      <c r="A19">
        <v>6</v>
      </c>
      <c r="B19" t="s">
        <v>319</v>
      </c>
      <c r="C19" s="50" t="e">
        <f>+#REF!</f>
        <v>#REF!</v>
      </c>
    </row>
    <row r="21" spans="3:4" ht="12.75">
      <c r="C21" s="20" t="s">
        <v>321</v>
      </c>
      <c r="D21" s="20" t="s">
        <v>322</v>
      </c>
    </row>
    <row r="22" spans="1:4" ht="12.75">
      <c r="A22">
        <v>7</v>
      </c>
      <c r="B22" t="s">
        <v>320</v>
      </c>
      <c r="C22" s="20" t="s">
        <v>397</v>
      </c>
      <c r="D22" s="20" t="s">
        <v>397</v>
      </c>
    </row>
    <row r="23" spans="2:4" ht="12.75">
      <c r="B23" s="26" t="s">
        <v>323</v>
      </c>
      <c r="C23" s="5" t="e">
        <f>+D23-10154</f>
        <v>#REF!</v>
      </c>
      <c r="D23" s="2" t="e">
        <f>+#REF!/1000</f>
        <v>#REF!</v>
      </c>
    </row>
    <row r="24" spans="2:4" ht="12.75">
      <c r="B24" s="26" t="s">
        <v>324</v>
      </c>
      <c r="C24" s="5" t="e">
        <f>+D24-4897</f>
        <v>#REF!</v>
      </c>
      <c r="D24" s="2" t="e">
        <f>+#REF!/1000</f>
        <v>#REF!</v>
      </c>
    </row>
    <row r="25" spans="3:4" ht="13.5" thickBot="1">
      <c r="C25" s="19" t="e">
        <f>SUM(C23:C24)</f>
        <v>#REF!</v>
      </c>
      <c r="D25" s="19" t="e">
        <f>SUM(D23:D24)</f>
        <v>#REF!</v>
      </c>
    </row>
    <row r="27" spans="1:2" ht="12.75">
      <c r="A27">
        <v>8</v>
      </c>
      <c r="B27" t="s">
        <v>331</v>
      </c>
    </row>
    <row r="28" spans="2:3" ht="12.75">
      <c r="B28" s="26" t="s">
        <v>325</v>
      </c>
      <c r="C28" s="2">
        <v>21</v>
      </c>
    </row>
    <row r="29" spans="2:3" ht="12.75">
      <c r="B29" s="26" t="s">
        <v>326</v>
      </c>
      <c r="C29" s="2">
        <v>43</v>
      </c>
    </row>
    <row r="30" spans="2:3" ht="12.75">
      <c r="B30" s="26" t="s">
        <v>327</v>
      </c>
      <c r="C30" s="2">
        <v>66</v>
      </c>
    </row>
    <row r="31" spans="2:3" ht="12.75">
      <c r="B31" s="26" t="s">
        <v>328</v>
      </c>
      <c r="C31" s="2">
        <v>174</v>
      </c>
    </row>
    <row r="32" spans="2:3" ht="12.75">
      <c r="B32" s="26" t="s">
        <v>290</v>
      </c>
      <c r="C32" s="2">
        <v>5</v>
      </c>
    </row>
    <row r="33" spans="2:3" ht="12.75">
      <c r="B33" s="26" t="s">
        <v>329</v>
      </c>
      <c r="C33" s="2">
        <f>+'UR Profit'!D12/1000</f>
        <v>106.15281000000002</v>
      </c>
    </row>
    <row r="34" spans="2:3" ht="12.75">
      <c r="B34" s="26" t="s">
        <v>330</v>
      </c>
      <c r="C34" s="2">
        <v>272</v>
      </c>
    </row>
    <row r="35" ht="13.5" thickBot="1">
      <c r="C35" s="19">
        <f>SUM(C28:C34)</f>
        <v>687.15281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3"/>
  <sheetViews>
    <sheetView workbookViewId="0" topLeftCell="A1">
      <selection activeCell="A15" sqref="A15"/>
    </sheetView>
  </sheetViews>
  <sheetFormatPr defaultColWidth="9.33203125" defaultRowHeight="12.75"/>
  <cols>
    <col min="1" max="1" width="41.83203125" style="0" customWidth="1"/>
    <col min="2" max="2" width="11.33203125" style="2" customWidth="1"/>
    <col min="3" max="3" width="12" style="2" customWidth="1"/>
    <col min="4" max="4" width="14.16015625" style="0" customWidth="1"/>
    <col min="5" max="5" width="11.33203125" style="0" customWidth="1"/>
  </cols>
  <sheetData>
    <row r="1" ht="12.75">
      <c r="A1" s="7" t="s">
        <v>400</v>
      </c>
    </row>
    <row r="2" ht="12.75">
      <c r="A2" s="7"/>
    </row>
    <row r="3" ht="12.75">
      <c r="A3" s="7" t="s">
        <v>215</v>
      </c>
    </row>
    <row r="5" spans="2:3" ht="12.75">
      <c r="B5" s="16" t="s">
        <v>396</v>
      </c>
      <c r="C5" s="16" t="s">
        <v>395</v>
      </c>
    </row>
    <row r="7" spans="1:3" ht="12.75">
      <c r="A7" t="s">
        <v>216</v>
      </c>
      <c r="B7" s="2">
        <f>73876719-76000</f>
        <v>73800719</v>
      </c>
      <c r="C7" s="2">
        <v>87444420</v>
      </c>
    </row>
    <row r="9" ht="12.75">
      <c r="A9" s="11" t="s">
        <v>217</v>
      </c>
    </row>
    <row r="10" spans="1:3" ht="12.75">
      <c r="A10" s="26" t="s">
        <v>218</v>
      </c>
      <c r="B10" s="23">
        <v>-1040092.32</v>
      </c>
      <c r="C10" s="23">
        <v>-1650111.41</v>
      </c>
    </row>
    <row r="11" spans="1:3" ht="12.75">
      <c r="A11" s="26" t="s">
        <v>219</v>
      </c>
      <c r="B11" s="24">
        <v>-2137606.26</v>
      </c>
      <c r="C11" s="24">
        <v>-2621904.55</v>
      </c>
    </row>
    <row r="12" spans="1:3" ht="12.75">
      <c r="A12" s="26" t="s">
        <v>220</v>
      </c>
      <c r="B12" s="24">
        <v>-2072277.09</v>
      </c>
      <c r="C12" s="24">
        <v>-1996064.85</v>
      </c>
    </row>
    <row r="13" spans="1:3" ht="12.75">
      <c r="A13" s="26" t="s">
        <v>221</v>
      </c>
      <c r="B13" s="24">
        <v>-533161.94</v>
      </c>
      <c r="C13" s="24">
        <v>-1260175.3</v>
      </c>
    </row>
    <row r="14" spans="1:3" ht="12.75">
      <c r="A14" s="26" t="s">
        <v>222</v>
      </c>
      <c r="B14" s="24">
        <v>-1622759.55</v>
      </c>
      <c r="C14" s="24">
        <v>-2038762.83</v>
      </c>
    </row>
    <row r="15" spans="1:3" ht="13.5" thickBot="1">
      <c r="A15" s="26" t="s">
        <v>223</v>
      </c>
      <c r="B15" s="24">
        <v>-730346.7</v>
      </c>
      <c r="C15" s="24">
        <v>-3036369</v>
      </c>
    </row>
    <row r="16" spans="2:3" ht="13.5" thickBot="1">
      <c r="B16" s="30">
        <f>SUM(B10:B15)</f>
        <v>-8136243.859999999</v>
      </c>
      <c r="C16" s="47">
        <f>SUM(C10:C15)</f>
        <v>-12603387.940000001</v>
      </c>
    </row>
    <row r="18" spans="1:3" ht="13.5" thickBot="1">
      <c r="A18" t="s">
        <v>224</v>
      </c>
      <c r="B18" s="3">
        <f>+B7+B16</f>
        <v>65664475.14</v>
      </c>
      <c r="C18" s="3">
        <f>+C7+C16</f>
        <v>74841032.06</v>
      </c>
    </row>
    <row r="19" spans="2:3" ht="12.75">
      <c r="B19" s="14"/>
      <c r="C19" s="14"/>
    </row>
    <row r="20" spans="1:3" ht="12.75">
      <c r="A20" s="46" t="s">
        <v>77</v>
      </c>
      <c r="B20" s="48">
        <v>0.4254</v>
      </c>
      <c r="C20" s="48">
        <v>0.2968</v>
      </c>
    </row>
    <row r="21" spans="1:3" ht="12.75">
      <c r="A21" s="46"/>
      <c r="B21" s="48"/>
      <c r="C21" s="48"/>
    </row>
    <row r="22" spans="1:5" ht="12.75">
      <c r="A22" s="46" t="s">
        <v>225</v>
      </c>
      <c r="B22" s="2">
        <f>+B18*B20</f>
        <v>27933667.724556</v>
      </c>
      <c r="C22" s="2">
        <f>+C18*C20</f>
        <v>22212818.315408003</v>
      </c>
      <c r="D22" s="5">
        <f>+B22+C22</f>
        <v>50146486.039964005</v>
      </c>
      <c r="E22" s="5" t="e">
        <f>+D22-#REF!</f>
        <v>#REF!</v>
      </c>
    </row>
    <row r="24" spans="1:4" ht="12.75">
      <c r="A24" t="s">
        <v>61</v>
      </c>
      <c r="B24" s="45">
        <v>32364500</v>
      </c>
      <c r="C24" s="45">
        <v>5606250</v>
      </c>
      <c r="D24" s="5">
        <f>+B24+C24</f>
        <v>37970750</v>
      </c>
    </row>
    <row r="26" spans="1:3" ht="13.5" thickBot="1">
      <c r="A26" t="s">
        <v>226</v>
      </c>
      <c r="B26" s="49">
        <f>+B22-B24</f>
        <v>-4430832.275444001</v>
      </c>
      <c r="C26" s="9" t="s">
        <v>227</v>
      </c>
    </row>
    <row r="29" ht="12.75">
      <c r="A29" s="26" t="s">
        <v>229</v>
      </c>
    </row>
    <row r="30" spans="1:4" ht="12.75">
      <c r="A30" t="s">
        <v>228</v>
      </c>
      <c r="B30" s="2">
        <v>2212712.27</v>
      </c>
      <c r="C30" s="2">
        <v>7104</v>
      </c>
      <c r="D30" s="5">
        <f>+B30+C30</f>
        <v>2219816.27</v>
      </c>
    </row>
    <row r="31" spans="1:4" ht="12.75">
      <c r="A31" t="s">
        <v>230</v>
      </c>
      <c r="B31" s="2">
        <v>2595783.8</v>
      </c>
      <c r="C31" s="2">
        <v>7764</v>
      </c>
      <c r="D31" s="5">
        <f aca="true" t="shared" si="0" ref="D31:D41">+B31+C31</f>
        <v>2603547.8</v>
      </c>
    </row>
    <row r="32" spans="1:4" ht="12.75">
      <c r="A32" t="s">
        <v>231</v>
      </c>
      <c r="B32" s="2">
        <v>1244207.59</v>
      </c>
      <c r="C32" s="2">
        <v>17360.72</v>
      </c>
      <c r="D32" s="5">
        <f t="shared" si="0"/>
        <v>1261568.31</v>
      </c>
    </row>
    <row r="33" spans="1:4" ht="12.75">
      <c r="A33" t="s">
        <v>232</v>
      </c>
      <c r="B33" s="2">
        <v>1759408.62</v>
      </c>
      <c r="C33" s="2">
        <v>7764</v>
      </c>
      <c r="D33" s="5">
        <f t="shared" si="0"/>
        <v>1767172.62</v>
      </c>
    </row>
    <row r="34" spans="1:4" ht="12.75">
      <c r="A34" t="s">
        <v>233</v>
      </c>
      <c r="B34" s="2">
        <v>2376574.3</v>
      </c>
      <c r="C34" s="2">
        <v>7764</v>
      </c>
      <c r="D34" s="5">
        <f t="shared" si="0"/>
        <v>2384338.3</v>
      </c>
    </row>
    <row r="35" spans="1:4" ht="12.75">
      <c r="A35" t="s">
        <v>234</v>
      </c>
      <c r="B35" s="2">
        <v>1259783.11</v>
      </c>
      <c r="C35" s="2">
        <v>7764</v>
      </c>
      <c r="D35" s="5">
        <f t="shared" si="0"/>
        <v>1267547.11</v>
      </c>
    </row>
    <row r="36" spans="1:4" ht="12.75">
      <c r="A36" t="s">
        <v>235</v>
      </c>
      <c r="B36" s="2">
        <v>1156368.54</v>
      </c>
      <c r="D36" s="5">
        <f t="shared" si="0"/>
        <v>1156368.54</v>
      </c>
    </row>
    <row r="37" spans="1:4" ht="12.75">
      <c r="A37" t="s">
        <v>236</v>
      </c>
      <c r="B37" s="2">
        <v>1401636.95</v>
      </c>
      <c r="D37" s="5">
        <f t="shared" si="0"/>
        <v>1401636.95</v>
      </c>
    </row>
    <row r="38" spans="1:4" ht="12.75">
      <c r="A38" t="s">
        <v>237</v>
      </c>
      <c r="B38" s="2">
        <v>1318003</v>
      </c>
      <c r="D38" s="5">
        <f t="shared" si="0"/>
        <v>1318003</v>
      </c>
    </row>
    <row r="39" spans="1:4" ht="12.75">
      <c r="A39" t="s">
        <v>238</v>
      </c>
      <c r="B39" s="2">
        <v>1075725.53</v>
      </c>
      <c r="D39" s="5">
        <f t="shared" si="0"/>
        <v>1075725.53</v>
      </c>
    </row>
    <row r="40" spans="1:4" ht="12.75">
      <c r="A40" t="s">
        <v>239</v>
      </c>
      <c r="B40" s="2">
        <v>2466912.88</v>
      </c>
      <c r="D40" s="5">
        <f t="shared" si="0"/>
        <v>2466912.88</v>
      </c>
    </row>
    <row r="41" spans="1:4" ht="12.75">
      <c r="A41" t="s">
        <v>240</v>
      </c>
      <c r="B41" s="2">
        <v>2814096.27</v>
      </c>
      <c r="D41" s="6">
        <f t="shared" si="0"/>
        <v>2814096.27</v>
      </c>
    </row>
    <row r="42" ht="12.75">
      <c r="D42" s="13">
        <f>SUM(D30:D41)</f>
        <v>21736733.58</v>
      </c>
    </row>
    <row r="44" spans="1:4" ht="12.75">
      <c r="A44" t="s">
        <v>241</v>
      </c>
      <c r="D44" s="2">
        <v>25117838</v>
      </c>
    </row>
    <row r="46" spans="1:4" ht="13.5" thickBot="1">
      <c r="A46" t="s">
        <v>242</v>
      </c>
      <c r="D46" s="19">
        <f>+D42-D44</f>
        <v>-3381104.420000002</v>
      </c>
    </row>
    <row r="48" spans="1:4" ht="12.75">
      <c r="A48" t="s">
        <v>243</v>
      </c>
      <c r="D48" s="29">
        <f>+D46*0.2968</f>
        <v>-1003511.7918560005</v>
      </c>
    </row>
    <row r="49" ht="12.75">
      <c r="A49" s="26"/>
    </row>
    <row r="50" ht="12.75">
      <c r="A50" s="26"/>
    </row>
    <row r="51" ht="12.75">
      <c r="A51" s="26"/>
    </row>
    <row r="52" ht="12.75">
      <c r="A52" s="26"/>
    </row>
    <row r="53" ht="12.75">
      <c r="A53" s="26"/>
    </row>
    <row r="54" ht="12.75">
      <c r="A54" s="26"/>
    </row>
    <row r="55" ht="12.75">
      <c r="A55" s="26"/>
    </row>
    <row r="56" ht="12.75">
      <c r="A56" s="26"/>
    </row>
    <row r="57" ht="12.75">
      <c r="A57" s="26"/>
    </row>
    <row r="58" ht="12.75">
      <c r="A58" s="26"/>
    </row>
    <row r="59" ht="12.75">
      <c r="A59" s="26"/>
    </row>
    <row r="60" ht="12.75">
      <c r="A60" s="26"/>
    </row>
    <row r="61" ht="12.75">
      <c r="A61" s="26"/>
    </row>
    <row r="62" ht="12.75">
      <c r="A62" s="26"/>
    </row>
    <row r="63" ht="12.75">
      <c r="A63" s="26"/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2"/>
  <sheetViews>
    <sheetView workbookViewId="0" topLeftCell="A1">
      <selection activeCell="D46" sqref="D46"/>
    </sheetView>
  </sheetViews>
  <sheetFormatPr defaultColWidth="9.33203125" defaultRowHeight="12.75"/>
  <cols>
    <col min="1" max="1" width="3.83203125" style="0" customWidth="1"/>
    <col min="2" max="2" width="34" style="0" customWidth="1"/>
    <col min="3" max="4" width="12.33203125" style="0" customWidth="1"/>
    <col min="5" max="5" width="10.33203125" style="0" customWidth="1"/>
  </cols>
  <sheetData>
    <row r="1" ht="12.75">
      <c r="A1" s="7" t="s">
        <v>398</v>
      </c>
    </row>
    <row r="2" ht="12.75">
      <c r="A2" s="7"/>
    </row>
    <row r="3" ht="12.75">
      <c r="A3" s="7" t="s">
        <v>291</v>
      </c>
    </row>
    <row r="4" ht="12.75">
      <c r="A4" s="7"/>
    </row>
    <row r="5" spans="1:4" ht="12.75">
      <c r="A5" s="20" t="s">
        <v>82</v>
      </c>
      <c r="B5" s="20" t="s">
        <v>83</v>
      </c>
      <c r="C5" s="20" t="s">
        <v>367</v>
      </c>
      <c r="D5" s="20" t="s">
        <v>368</v>
      </c>
    </row>
    <row r="7" spans="1:4" ht="12.75">
      <c r="A7">
        <v>1</v>
      </c>
      <c r="B7" t="s">
        <v>84</v>
      </c>
      <c r="C7" s="2" t="e">
        <f>+C15</f>
        <v>#REF!</v>
      </c>
      <c r="D7" s="2"/>
    </row>
    <row r="8" spans="2:4" ht="12.75">
      <c r="B8" t="s">
        <v>89</v>
      </c>
      <c r="C8" s="2"/>
      <c r="D8" s="2" t="e">
        <f>+C7</f>
        <v>#REF!</v>
      </c>
    </row>
    <row r="9" ht="12.75">
      <c r="B9" s="8" t="s">
        <v>85</v>
      </c>
    </row>
    <row r="12" ht="12.75">
      <c r="B12" s="18" t="s">
        <v>86</v>
      </c>
    </row>
    <row r="13" spans="2:3" ht="12.75">
      <c r="B13" t="s">
        <v>292</v>
      </c>
      <c r="C13" s="2" t="e">
        <f>+#REF!</f>
        <v>#REF!</v>
      </c>
    </row>
    <row r="14" spans="2:3" ht="12.75">
      <c r="B14" t="s">
        <v>87</v>
      </c>
      <c r="C14" s="2" t="e">
        <f>+#REF!-#REF!</f>
        <v>#REF!</v>
      </c>
    </row>
    <row r="15" spans="2:3" ht="13.5" thickBot="1">
      <c r="B15" t="s">
        <v>88</v>
      </c>
      <c r="C15" s="19" t="e">
        <f>+C13-C14</f>
        <v>#REF!</v>
      </c>
    </row>
    <row r="18" ht="12.75">
      <c r="A18" s="7" t="s">
        <v>294</v>
      </c>
    </row>
    <row r="20" ht="12.75">
      <c r="A20" s="7" t="s">
        <v>291</v>
      </c>
    </row>
    <row r="22" spans="1:4" ht="12.75">
      <c r="A22" s="20" t="s">
        <v>82</v>
      </c>
      <c r="B22" s="20" t="s">
        <v>83</v>
      </c>
      <c r="C22" s="20" t="s">
        <v>367</v>
      </c>
      <c r="D22" s="20" t="s">
        <v>368</v>
      </c>
    </row>
    <row r="24" spans="1:3" ht="12.75">
      <c r="A24">
        <v>1</v>
      </c>
      <c r="B24" t="s">
        <v>369</v>
      </c>
      <c r="C24" s="21">
        <f>(494153.71-40010)*0.6</f>
        <v>272486.226</v>
      </c>
    </row>
    <row r="25" spans="2:4" ht="12.75">
      <c r="B25" t="s">
        <v>295</v>
      </c>
      <c r="D25" s="42">
        <f>+C24</f>
        <v>272486.226</v>
      </c>
    </row>
    <row r="26" ht="12.75">
      <c r="B26" s="8" t="s">
        <v>296</v>
      </c>
    </row>
    <row r="28" spans="1:4" ht="12.75">
      <c r="A28">
        <v>2</v>
      </c>
      <c r="B28" t="s">
        <v>298</v>
      </c>
      <c r="C28" s="21">
        <v>40010</v>
      </c>
      <c r="D28" s="21"/>
    </row>
    <row r="29" spans="2:4" ht="12.75">
      <c r="B29" t="s">
        <v>299</v>
      </c>
      <c r="C29" s="21"/>
      <c r="D29" s="21">
        <f>+C28</f>
        <v>40010</v>
      </c>
    </row>
    <row r="30" ht="12.75">
      <c r="B30" s="8" t="s">
        <v>300</v>
      </c>
    </row>
    <row r="33" ht="12.75">
      <c r="A33" s="7" t="s">
        <v>402</v>
      </c>
    </row>
    <row r="35" ht="12.75">
      <c r="A35" s="7" t="s">
        <v>291</v>
      </c>
    </row>
    <row r="37" spans="1:4" ht="12.75">
      <c r="A37" s="20" t="s">
        <v>82</v>
      </c>
      <c r="B37" s="20" t="s">
        <v>83</v>
      </c>
      <c r="C37" s="20" t="s">
        <v>367</v>
      </c>
      <c r="D37" s="20" t="s">
        <v>368</v>
      </c>
    </row>
    <row r="39" spans="1:4" ht="12.75">
      <c r="A39">
        <v>1</v>
      </c>
      <c r="B39" t="s">
        <v>301</v>
      </c>
      <c r="C39" s="21">
        <f>4021.6+56504.45</f>
        <v>60526.049999999996</v>
      </c>
      <c r="D39" s="21"/>
    </row>
    <row r="40" spans="2:5" ht="12.75">
      <c r="B40" t="s">
        <v>302</v>
      </c>
      <c r="C40" s="21">
        <v>21973.95</v>
      </c>
      <c r="D40" s="21"/>
      <c r="E40" s="53"/>
    </row>
    <row r="41" spans="2:4" ht="12.75">
      <c r="B41" t="s">
        <v>303</v>
      </c>
      <c r="C41" s="21"/>
      <c r="D41" s="21">
        <f>4021.6+78478.4</f>
        <v>82500</v>
      </c>
    </row>
    <row r="42" ht="12.75">
      <c r="B42" s="8" t="s">
        <v>304</v>
      </c>
    </row>
  </sheetData>
  <printOptions gridLines="1"/>
  <pageMargins left="0.75" right="0.75" top="1" bottom="1" header="0.5" footer="0.5"/>
  <pageSetup fitToHeight="1" fitToWidth="1" horizontalDpi="600" verticalDpi="600" orientation="portrait" paperSize="9" r:id="rId1"/>
  <rowBreaks count="3" manualBreakCount="3">
    <brk id="15" max="255" man="1"/>
    <brk id="16" max="6" man="1"/>
    <brk id="3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"/>
  <sheetViews>
    <sheetView tabSelected="1" workbookViewId="0" topLeftCell="A1">
      <selection activeCell="I14" sqref="I13:M14"/>
    </sheetView>
  </sheetViews>
  <sheetFormatPr defaultColWidth="9.33203125" defaultRowHeight="12.75"/>
  <cols>
    <col min="1" max="1" width="3.33203125" style="76" customWidth="1"/>
    <col min="2" max="2" width="36.66015625" style="76" customWidth="1"/>
    <col min="3" max="3" width="13.33203125" style="76" customWidth="1"/>
    <col min="4" max="4" width="14.66015625" style="76" customWidth="1"/>
    <col min="5" max="5" width="13.16015625" style="76" customWidth="1"/>
    <col min="6" max="6" width="14.5" style="76" customWidth="1"/>
    <col min="7" max="7" width="3" style="76" customWidth="1"/>
    <col min="8" max="16384" width="9.33203125" style="76" customWidth="1"/>
  </cols>
  <sheetData>
    <row r="1" ht="12.75">
      <c r="A1" s="74" t="s">
        <v>389</v>
      </c>
    </row>
    <row r="2" s="78" customFormat="1" ht="13.5">
      <c r="A2" s="77" t="s">
        <v>164</v>
      </c>
    </row>
    <row r="3" ht="12.75">
      <c r="A3" s="74"/>
    </row>
    <row r="4" ht="12.75">
      <c r="A4" s="74" t="s">
        <v>251</v>
      </c>
    </row>
    <row r="6" spans="1:6" ht="12.75">
      <c r="A6" s="99"/>
      <c r="B6" s="99"/>
      <c r="C6" s="174" t="s">
        <v>165</v>
      </c>
      <c r="D6" s="174"/>
      <c r="E6" s="174" t="s">
        <v>213</v>
      </c>
      <c r="F6" s="174"/>
    </row>
    <row r="7" spans="1:6" s="80" customFormat="1" ht="38.25">
      <c r="A7" s="101"/>
      <c r="B7" s="101"/>
      <c r="C7" s="102" t="s">
        <v>166</v>
      </c>
      <c r="D7" s="102" t="s">
        <v>167</v>
      </c>
      <c r="E7" s="102" t="s">
        <v>168</v>
      </c>
      <c r="F7" s="102" t="s">
        <v>169</v>
      </c>
    </row>
    <row r="8" spans="1:6" ht="12.75">
      <c r="A8" s="99"/>
      <c r="B8" s="99"/>
      <c r="C8" s="103" t="s">
        <v>252</v>
      </c>
      <c r="D8" s="103" t="s">
        <v>253</v>
      </c>
      <c r="E8" s="103" t="s">
        <v>252</v>
      </c>
      <c r="F8" s="103" t="s">
        <v>253</v>
      </c>
    </row>
    <row r="9" spans="1:6" ht="12.75">
      <c r="A9" s="99"/>
      <c r="B9" s="99"/>
      <c r="C9" s="100" t="s">
        <v>397</v>
      </c>
      <c r="D9" s="100" t="s">
        <v>397</v>
      </c>
      <c r="E9" s="100" t="s">
        <v>397</v>
      </c>
      <c r="F9" s="100" t="s">
        <v>397</v>
      </c>
    </row>
    <row r="10" spans="1:6" ht="12.75">
      <c r="A10" s="99"/>
      <c r="B10" s="99"/>
      <c r="C10" s="99"/>
      <c r="D10" s="99"/>
      <c r="E10" s="99"/>
      <c r="F10" s="99"/>
    </row>
    <row r="11" spans="1:6" ht="12.75">
      <c r="A11" s="99">
        <v>1</v>
      </c>
      <c r="B11" s="99" t="s">
        <v>122</v>
      </c>
      <c r="C11" s="104">
        <v>1646.31233</v>
      </c>
      <c r="D11" s="104">
        <v>3099</v>
      </c>
      <c r="E11" s="99">
        <v>1646.31233</v>
      </c>
      <c r="F11" s="99">
        <v>3099</v>
      </c>
    </row>
    <row r="12" spans="1:6" ht="12.75">
      <c r="A12" s="99"/>
      <c r="B12" s="99"/>
      <c r="C12" s="99"/>
      <c r="D12" s="99"/>
      <c r="E12" s="99"/>
      <c r="F12" s="99"/>
    </row>
    <row r="13" spans="1:6" ht="12.75">
      <c r="A13" s="99">
        <v>2</v>
      </c>
      <c r="B13" s="99" t="s">
        <v>170</v>
      </c>
      <c r="C13" s="104">
        <v>-259.1934899999999</v>
      </c>
      <c r="D13" s="104">
        <v>-327</v>
      </c>
      <c r="E13" s="99">
        <v>-259.1934899999999</v>
      </c>
      <c r="F13" s="99">
        <v>-327</v>
      </c>
    </row>
    <row r="14" spans="1:6" ht="12.75">
      <c r="A14" s="99"/>
      <c r="B14" s="99"/>
      <c r="C14" s="99"/>
      <c r="D14" s="99"/>
      <c r="E14" s="99"/>
      <c r="F14" s="99"/>
    </row>
    <row r="15" spans="1:6" ht="12.75">
      <c r="A15" s="99">
        <v>3</v>
      </c>
      <c r="B15" s="99" t="s">
        <v>385</v>
      </c>
      <c r="C15" s="104">
        <v>-259.1934899999999</v>
      </c>
      <c r="D15" s="104">
        <v>-327</v>
      </c>
      <c r="E15" s="99">
        <v>-259.1934899999999</v>
      </c>
      <c r="F15" s="99">
        <v>-327</v>
      </c>
    </row>
    <row r="16" spans="1:6" ht="12.75">
      <c r="A16" s="99"/>
      <c r="B16" s="99"/>
      <c r="C16" s="99"/>
      <c r="D16" s="99"/>
      <c r="E16" s="99"/>
      <c r="F16" s="99"/>
    </row>
    <row r="17" spans="1:6" ht="25.5">
      <c r="A17" s="162">
        <v>4</v>
      </c>
      <c r="B17" s="161" t="s">
        <v>386</v>
      </c>
      <c r="C17" s="99">
        <v>-254.8659029999999</v>
      </c>
      <c r="D17" s="99">
        <v>-271</v>
      </c>
      <c r="E17" s="99">
        <v>-254.8659029999999</v>
      </c>
      <c r="F17" s="99">
        <v>-271</v>
      </c>
    </row>
    <row r="18" spans="1:6" ht="12.75">
      <c r="A18" s="99"/>
      <c r="B18" s="99"/>
      <c r="C18" s="99"/>
      <c r="D18" s="99"/>
      <c r="E18" s="99"/>
      <c r="F18" s="99"/>
    </row>
    <row r="19" spans="1:6" s="72" customFormat="1" ht="12.75">
      <c r="A19" s="99">
        <v>5</v>
      </c>
      <c r="B19" s="108" t="s">
        <v>171</v>
      </c>
      <c r="C19" s="109">
        <v>-0.09301451019740237</v>
      </c>
      <c r="D19" s="109">
        <v>-0.11734764185069074</v>
      </c>
      <c r="E19" s="109">
        <v>-0.09301451019740237</v>
      </c>
      <c r="F19" s="109">
        <v>-0.11734764185069074</v>
      </c>
    </row>
    <row r="20" spans="1:6" ht="12.75">
      <c r="A20" s="99"/>
      <c r="B20" s="99"/>
      <c r="C20" s="99"/>
      <c r="D20" s="99"/>
      <c r="E20" s="99"/>
      <c r="F20" s="99"/>
    </row>
    <row r="21" spans="1:6" s="72" customFormat="1" ht="12.75">
      <c r="A21" s="99">
        <v>6</v>
      </c>
      <c r="B21" s="108" t="s">
        <v>387</v>
      </c>
      <c r="C21" s="164">
        <v>0</v>
      </c>
      <c r="D21" s="164">
        <v>0</v>
      </c>
      <c r="E21" s="164">
        <v>0</v>
      </c>
      <c r="F21" s="164">
        <v>0</v>
      </c>
    </row>
    <row r="22" spans="3:6" ht="12.75">
      <c r="C22" s="70"/>
      <c r="D22" s="70"/>
      <c r="E22" s="70"/>
      <c r="F22" s="70"/>
    </row>
    <row r="23" spans="1:6" s="75" customFormat="1" ht="51">
      <c r="A23" s="100"/>
      <c r="B23" s="100"/>
      <c r="C23" s="105" t="s">
        <v>172</v>
      </c>
      <c r="D23" s="105" t="s">
        <v>173</v>
      </c>
      <c r="E23" s="106"/>
      <c r="F23" s="106"/>
    </row>
    <row r="24" spans="1:6" ht="12.75">
      <c r="A24" s="99"/>
      <c r="B24" s="99"/>
      <c r="C24" s="104"/>
      <c r="D24" s="104"/>
      <c r="E24" s="70"/>
      <c r="F24" s="70"/>
    </row>
    <row r="25" spans="1:4" ht="12.75">
      <c r="A25" s="99"/>
      <c r="B25" s="99"/>
      <c r="C25" s="99"/>
      <c r="D25" s="99"/>
    </row>
    <row r="26" spans="1:7" ht="25.5">
      <c r="A26" s="162">
        <v>7</v>
      </c>
      <c r="B26" s="161" t="s">
        <v>347</v>
      </c>
      <c r="C26" s="137">
        <v>0.08420173719149412</v>
      </c>
      <c r="D26" s="137">
        <v>0.08511635315608439</v>
      </c>
      <c r="E26" s="76" t="s">
        <v>372</v>
      </c>
      <c r="F26" s="76" t="s">
        <v>372</v>
      </c>
      <c r="G26" s="76" t="s">
        <v>372</v>
      </c>
    </row>
    <row r="29" spans="1:6" s="73" customFormat="1" ht="12.75">
      <c r="A29" s="76"/>
      <c r="B29" s="175"/>
      <c r="C29" s="175"/>
      <c r="D29" s="175"/>
      <c r="E29" s="175"/>
      <c r="F29" s="175"/>
    </row>
    <row r="32" ht="12.75">
      <c r="A32" s="74" t="s">
        <v>212</v>
      </c>
    </row>
    <row r="34" spans="1:6" ht="12.75">
      <c r="A34" s="99"/>
      <c r="B34" s="99"/>
      <c r="C34" s="174" t="s">
        <v>165</v>
      </c>
      <c r="D34" s="174"/>
      <c r="E34" s="174" t="s">
        <v>213</v>
      </c>
      <c r="F34" s="174"/>
    </row>
    <row r="35" spans="1:6" ht="38.25">
      <c r="A35" s="101"/>
      <c r="B35" s="101"/>
      <c r="C35" s="102" t="s">
        <v>166</v>
      </c>
      <c r="D35" s="102" t="s">
        <v>167</v>
      </c>
      <c r="E35" s="102" t="s">
        <v>168</v>
      </c>
      <c r="F35" s="102" t="s">
        <v>169</v>
      </c>
    </row>
    <row r="36" spans="1:6" ht="12.75">
      <c r="A36" s="99"/>
      <c r="B36" s="99"/>
      <c r="C36" s="107" t="s">
        <v>252</v>
      </c>
      <c r="D36" s="107" t="s">
        <v>253</v>
      </c>
      <c r="E36" s="107" t="s">
        <v>252</v>
      </c>
      <c r="F36" s="107" t="s">
        <v>253</v>
      </c>
    </row>
    <row r="37" spans="1:6" ht="12.75">
      <c r="A37" s="99"/>
      <c r="B37" s="99"/>
      <c r="C37" s="100" t="s">
        <v>397</v>
      </c>
      <c r="D37" s="100" t="s">
        <v>397</v>
      </c>
      <c r="E37" s="100" t="s">
        <v>397</v>
      </c>
      <c r="F37" s="100" t="s">
        <v>397</v>
      </c>
    </row>
    <row r="38" spans="1:6" ht="12.75">
      <c r="A38" s="99"/>
      <c r="B38" s="99"/>
      <c r="C38" s="99"/>
      <c r="D38" s="99"/>
      <c r="E38" s="99"/>
      <c r="F38" s="99"/>
    </row>
    <row r="39" spans="1:6" ht="12.75">
      <c r="A39" s="99">
        <v>1</v>
      </c>
      <c r="B39" s="99" t="s">
        <v>360</v>
      </c>
      <c r="C39" s="150">
        <v>69.47629</v>
      </c>
      <c r="D39" s="160">
        <v>51</v>
      </c>
      <c r="E39" s="99">
        <v>69.47629</v>
      </c>
      <c r="F39" s="99">
        <v>51</v>
      </c>
    </row>
    <row r="40" spans="1:6" ht="12.75">
      <c r="A40" s="99"/>
      <c r="B40" s="99"/>
      <c r="C40" s="99"/>
      <c r="D40" s="99"/>
      <c r="E40" s="99"/>
      <c r="F40" s="99"/>
    </row>
    <row r="41" spans="1:6" ht="12.75">
      <c r="A41" s="99">
        <v>2</v>
      </c>
      <c r="B41" s="99" t="s">
        <v>211</v>
      </c>
      <c r="C41" s="150">
        <v>0</v>
      </c>
      <c r="D41" s="104">
        <v>0</v>
      </c>
      <c r="E41" s="99">
        <v>0</v>
      </c>
      <c r="F41" s="99">
        <v>0</v>
      </c>
    </row>
    <row r="42" spans="1:6" ht="12.75">
      <c r="A42" s="99"/>
      <c r="B42" s="99"/>
      <c r="C42" s="99"/>
      <c r="D42" s="99"/>
      <c r="E42" s="99"/>
      <c r="F42" s="99"/>
    </row>
  </sheetData>
  <mergeCells count="5">
    <mergeCell ref="C6:D6"/>
    <mergeCell ref="E6:F6"/>
    <mergeCell ref="B29:F29"/>
    <mergeCell ref="C34:D34"/>
    <mergeCell ref="E34:F34"/>
  </mergeCells>
  <printOptions horizontalCentered="1"/>
  <pageMargins left="0.75" right="0.75" top="1" bottom="1" header="0.5" footer="0.5"/>
  <pageSetup fitToHeight="1" fitToWidth="1"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68"/>
  <sheetViews>
    <sheetView workbookViewId="0" topLeftCell="A1">
      <selection activeCell="K37" sqref="K36:O37"/>
    </sheetView>
  </sheetViews>
  <sheetFormatPr defaultColWidth="9.33203125" defaultRowHeight="12.75"/>
  <cols>
    <col min="1" max="1" width="9" style="73" customWidth="1"/>
    <col min="2" max="2" width="30.5" style="73" customWidth="1"/>
    <col min="3" max="3" width="12.66015625" style="73" customWidth="1"/>
    <col min="4" max="4" width="1.66796875" style="73" customWidth="1"/>
    <col min="5" max="5" width="12.66015625" style="73" customWidth="1"/>
    <col min="6" max="6" width="1.66796875" style="73" customWidth="1"/>
    <col min="7" max="7" width="12.66015625" style="73" customWidth="1"/>
    <col min="8" max="8" width="1.0078125" style="73" customWidth="1"/>
    <col min="9" max="9" width="12.66015625" style="73" customWidth="1"/>
    <col min="10" max="10" width="3.83203125" style="73" customWidth="1"/>
    <col min="11" max="16384" width="9.33203125" style="73" customWidth="1"/>
  </cols>
  <sheetData>
    <row r="1" s="76" customFormat="1" ht="12.75">
      <c r="A1" s="74" t="s">
        <v>389</v>
      </c>
    </row>
    <row r="2" s="78" customFormat="1" ht="13.5">
      <c r="A2" s="77" t="s">
        <v>162</v>
      </c>
    </row>
    <row r="3" s="78" customFormat="1" ht="13.5">
      <c r="A3" s="77"/>
    </row>
    <row r="4" s="76" customFormat="1" ht="12.75">
      <c r="A4" s="74" t="s">
        <v>117</v>
      </c>
    </row>
    <row r="5" s="76" customFormat="1" ht="12.75">
      <c r="A5" s="79" t="s">
        <v>255</v>
      </c>
    </row>
    <row r="6" s="76" customFormat="1" ht="12.75">
      <c r="A6" s="74" t="s">
        <v>140</v>
      </c>
    </row>
    <row r="7" spans="5:10" s="76" customFormat="1" ht="12.75">
      <c r="E7" s="165"/>
      <c r="F7" s="165"/>
      <c r="G7" s="165"/>
      <c r="H7" s="165"/>
      <c r="I7" s="165"/>
      <c r="J7" s="165"/>
    </row>
    <row r="8" spans="3:9" s="76" customFormat="1" ht="12.75">
      <c r="C8" s="80" t="s">
        <v>254</v>
      </c>
      <c r="D8" s="80" t="s">
        <v>372</v>
      </c>
      <c r="E8" s="80" t="s">
        <v>383</v>
      </c>
      <c r="F8" s="80"/>
      <c r="G8" s="80" t="s">
        <v>254</v>
      </c>
      <c r="H8" s="80"/>
      <c r="I8" s="80" t="s">
        <v>383</v>
      </c>
    </row>
    <row r="9" spans="3:9" s="76" customFormat="1" ht="12.75">
      <c r="C9" s="80" t="s">
        <v>391</v>
      </c>
      <c r="E9" s="80" t="s">
        <v>121</v>
      </c>
      <c r="G9" s="80" t="s">
        <v>391</v>
      </c>
      <c r="I9" s="76" t="s">
        <v>121</v>
      </c>
    </row>
    <row r="10" spans="3:9" s="76" customFormat="1" ht="12.75">
      <c r="C10" s="80" t="s">
        <v>118</v>
      </c>
      <c r="E10" s="80" t="s">
        <v>118</v>
      </c>
      <c r="G10" s="80" t="s">
        <v>256</v>
      </c>
      <c r="I10" s="80" t="s">
        <v>256</v>
      </c>
    </row>
    <row r="11" spans="3:9" s="76" customFormat="1" ht="12.75">
      <c r="C11" s="80" t="s">
        <v>119</v>
      </c>
      <c r="E11" s="80" t="s">
        <v>119</v>
      </c>
      <c r="G11" s="80" t="s">
        <v>214</v>
      </c>
      <c r="I11" s="80" t="s">
        <v>214</v>
      </c>
    </row>
    <row r="12" spans="3:9" s="76" customFormat="1" ht="12.75">
      <c r="C12" s="138">
        <v>38990</v>
      </c>
      <c r="D12" s="111"/>
      <c r="E12" s="110">
        <v>38990</v>
      </c>
      <c r="G12" s="80" t="s">
        <v>120</v>
      </c>
      <c r="I12" s="80" t="s">
        <v>120</v>
      </c>
    </row>
    <row r="13" spans="3:9" s="76" customFormat="1" ht="12.75">
      <c r="C13" s="81"/>
      <c r="E13" s="81"/>
      <c r="G13" s="80"/>
      <c r="I13" s="80"/>
    </row>
    <row r="14" spans="3:10" s="76" customFormat="1" ht="12.75">
      <c r="C14" s="139" t="s">
        <v>397</v>
      </c>
      <c r="D14" s="139"/>
      <c r="E14" s="139" t="s">
        <v>397</v>
      </c>
      <c r="F14" s="139"/>
      <c r="G14" s="139" t="s">
        <v>397</v>
      </c>
      <c r="H14" s="139"/>
      <c r="I14" s="139" t="s">
        <v>397</v>
      </c>
      <c r="J14" s="139"/>
    </row>
    <row r="15" s="76" customFormat="1" ht="12.75">
      <c r="E15" s="80"/>
    </row>
    <row r="16" spans="1:9" s="76" customFormat="1" ht="12.75">
      <c r="A16" s="74" t="s">
        <v>122</v>
      </c>
      <c r="C16" s="70">
        <v>1646.31233</v>
      </c>
      <c r="D16" s="70"/>
      <c r="E16" s="127">
        <v>3099</v>
      </c>
      <c r="F16" s="70"/>
      <c r="G16" s="131">
        <v>1646.31233</v>
      </c>
      <c r="H16" s="70"/>
      <c r="I16" s="127">
        <v>3099</v>
      </c>
    </row>
    <row r="17" spans="1:9" s="85" customFormat="1" ht="12.75">
      <c r="A17" s="76"/>
      <c r="B17" s="76"/>
      <c r="C17" s="70"/>
      <c r="D17" s="70"/>
      <c r="E17" s="127"/>
      <c r="F17" s="84"/>
      <c r="G17" s="84"/>
      <c r="H17" s="84"/>
      <c r="I17" s="127"/>
    </row>
    <row r="18" spans="1:9" s="85" customFormat="1" ht="12.75">
      <c r="A18" s="85" t="s">
        <v>289</v>
      </c>
      <c r="C18" s="86">
        <v>-1346.4409699999999</v>
      </c>
      <c r="D18" s="84"/>
      <c r="E18" s="126">
        <v>-2621</v>
      </c>
      <c r="F18" s="84"/>
      <c r="G18" s="86">
        <v>-1346.4409699999999</v>
      </c>
      <c r="H18" s="84"/>
      <c r="I18" s="126">
        <v>-2621</v>
      </c>
    </row>
    <row r="19" spans="3:9" s="85" customFormat="1" ht="12.75">
      <c r="C19" s="84"/>
      <c r="D19" s="84"/>
      <c r="E19" s="127"/>
      <c r="F19" s="84"/>
      <c r="G19" s="84"/>
      <c r="H19" s="84"/>
      <c r="I19" s="127"/>
    </row>
    <row r="20" spans="1:9" s="85" customFormat="1" ht="12.75">
      <c r="A20" s="85" t="s">
        <v>370</v>
      </c>
      <c r="C20" s="84">
        <v>299.8713600000001</v>
      </c>
      <c r="D20" s="84"/>
      <c r="E20" s="84">
        <v>478</v>
      </c>
      <c r="F20" s="84"/>
      <c r="G20" s="84">
        <v>299.8713600000001</v>
      </c>
      <c r="H20" s="84"/>
      <c r="I20" s="84">
        <v>478</v>
      </c>
    </row>
    <row r="21" spans="3:9" s="85" customFormat="1" ht="12.75">
      <c r="C21" s="84"/>
      <c r="D21" s="84"/>
      <c r="E21" s="127"/>
      <c r="F21" s="84"/>
      <c r="G21" s="84"/>
      <c r="H21" s="84"/>
      <c r="I21" s="127"/>
    </row>
    <row r="22" spans="1:9" s="85" customFormat="1" ht="12.75">
      <c r="A22" s="85" t="s">
        <v>4</v>
      </c>
      <c r="C22" s="119">
        <v>-786.19849</v>
      </c>
      <c r="D22" s="84"/>
      <c r="E22" s="127">
        <v>-913</v>
      </c>
      <c r="F22" s="84"/>
      <c r="G22" s="84">
        <v>-786.19849</v>
      </c>
      <c r="H22" s="84"/>
      <c r="I22" s="127">
        <v>-913</v>
      </c>
    </row>
    <row r="23" spans="3:9" s="85" customFormat="1" ht="12.75">
      <c r="C23" s="84" t="s">
        <v>372</v>
      </c>
      <c r="D23" s="84"/>
      <c r="E23" s="127" t="s">
        <v>372</v>
      </c>
      <c r="F23" s="84"/>
      <c r="G23" s="84"/>
      <c r="H23" s="84"/>
      <c r="I23" s="127"/>
    </row>
    <row r="24" spans="1:9" s="85" customFormat="1" ht="12.75">
      <c r="A24" s="85" t="s">
        <v>123</v>
      </c>
      <c r="C24" s="86">
        <v>227.13363999999999</v>
      </c>
      <c r="D24" s="84"/>
      <c r="E24" s="126">
        <v>108</v>
      </c>
      <c r="F24" s="84"/>
      <c r="G24" s="86">
        <v>227.13363999999999</v>
      </c>
      <c r="H24" s="84"/>
      <c r="I24" s="126">
        <v>108</v>
      </c>
    </row>
    <row r="25" spans="3:9" s="85" customFormat="1" ht="12.75">
      <c r="C25" s="119"/>
      <c r="D25" s="119"/>
      <c r="E25" s="125"/>
      <c r="F25" s="119"/>
      <c r="G25" s="119"/>
      <c r="H25" s="119"/>
      <c r="I25" s="125"/>
    </row>
    <row r="26" spans="1:9" s="85" customFormat="1" ht="12.75">
      <c r="A26" s="85" t="s">
        <v>344</v>
      </c>
      <c r="C26" s="84">
        <v>-259.1934899999999</v>
      </c>
      <c r="D26" s="84"/>
      <c r="E26" s="84">
        <v>-327</v>
      </c>
      <c r="F26" s="84"/>
      <c r="G26" s="84">
        <v>-259.1934899999999</v>
      </c>
      <c r="H26" s="84"/>
      <c r="I26" s="84">
        <v>-327</v>
      </c>
    </row>
    <row r="27" spans="3:9" s="85" customFormat="1" ht="12.75">
      <c r="C27" s="128"/>
      <c r="D27" s="84"/>
      <c r="E27" s="128"/>
      <c r="F27" s="84"/>
      <c r="G27" s="84"/>
      <c r="H27" s="84"/>
      <c r="I27" s="128"/>
    </row>
    <row r="28" spans="1:9" s="85" customFormat="1" ht="12.75">
      <c r="A28" s="85" t="s">
        <v>124</v>
      </c>
      <c r="C28" s="84">
        <v>0</v>
      </c>
      <c r="D28" s="84"/>
      <c r="E28" s="127">
        <v>0</v>
      </c>
      <c r="F28" s="84"/>
      <c r="G28" s="84">
        <v>0</v>
      </c>
      <c r="H28" s="84"/>
      <c r="I28" s="127">
        <v>0</v>
      </c>
    </row>
    <row r="29" spans="3:9" s="85" customFormat="1" ht="12.75">
      <c r="C29" s="84" t="s">
        <v>372</v>
      </c>
      <c r="D29" s="84"/>
      <c r="E29" s="127" t="s">
        <v>372</v>
      </c>
      <c r="F29" s="84"/>
      <c r="G29" s="84"/>
      <c r="H29" s="84"/>
      <c r="I29" s="127"/>
    </row>
    <row r="30" spans="1:9" s="85" customFormat="1" ht="12.75">
      <c r="A30" s="85" t="s">
        <v>125</v>
      </c>
      <c r="C30" s="86">
        <v>0</v>
      </c>
      <c r="D30" s="84"/>
      <c r="E30" s="126">
        <v>0</v>
      </c>
      <c r="F30" s="84"/>
      <c r="G30" s="86">
        <v>0</v>
      </c>
      <c r="H30" s="84"/>
      <c r="I30" s="126">
        <v>0</v>
      </c>
    </row>
    <row r="31" spans="3:9" s="85" customFormat="1" ht="12.75">
      <c r="C31" s="119"/>
      <c r="D31" s="119"/>
      <c r="E31" s="125"/>
      <c r="F31" s="119"/>
      <c r="G31" s="119"/>
      <c r="H31" s="119"/>
      <c r="I31" s="125"/>
    </row>
    <row r="32" spans="1:9" s="85" customFormat="1" ht="12.75">
      <c r="A32" s="74" t="s">
        <v>346</v>
      </c>
      <c r="C32" s="84">
        <v>-259.1934899999999</v>
      </c>
      <c r="D32" s="84"/>
      <c r="E32" s="128">
        <v>-327</v>
      </c>
      <c r="F32" s="84"/>
      <c r="G32" s="84">
        <v>-259.1934899999999</v>
      </c>
      <c r="H32" s="84"/>
      <c r="I32" s="128">
        <v>-327</v>
      </c>
    </row>
    <row r="33" spans="3:9" s="85" customFormat="1" ht="12.75">
      <c r="C33" s="128"/>
      <c r="D33" s="84"/>
      <c r="E33" s="128"/>
      <c r="F33" s="84"/>
      <c r="G33" s="84"/>
      <c r="H33" s="84"/>
      <c r="I33" s="128"/>
    </row>
    <row r="34" spans="1:9" s="85" customFormat="1" ht="12.75">
      <c r="A34" s="85" t="s">
        <v>366</v>
      </c>
      <c r="C34" s="86">
        <v>0</v>
      </c>
      <c r="D34" s="84"/>
      <c r="E34" s="126"/>
      <c r="F34" s="84"/>
      <c r="G34" s="86">
        <v>0</v>
      </c>
      <c r="H34" s="84"/>
      <c r="I34" s="126">
        <v>0</v>
      </c>
    </row>
    <row r="35" spans="3:9" s="85" customFormat="1" ht="12.75">
      <c r="C35" s="119"/>
      <c r="D35" s="84"/>
      <c r="E35" s="125"/>
      <c r="F35" s="84"/>
      <c r="G35" s="119"/>
      <c r="H35" s="84"/>
      <c r="I35" s="125"/>
    </row>
    <row r="36" spans="1:9" s="85" customFormat="1" ht="13.5" thickBot="1">
      <c r="A36" s="74" t="s">
        <v>5</v>
      </c>
      <c r="C36" s="166">
        <v>-259.1934899999999</v>
      </c>
      <c r="D36" s="119"/>
      <c r="E36" s="167">
        <v>-327</v>
      </c>
      <c r="F36" s="119"/>
      <c r="G36" s="166">
        <v>-259.1934899999999</v>
      </c>
      <c r="H36" s="119"/>
      <c r="I36" s="167">
        <v>-327</v>
      </c>
    </row>
    <row r="37" spans="3:9" s="85" customFormat="1" ht="12.75">
      <c r="C37" s="128"/>
      <c r="D37" s="84"/>
      <c r="E37" s="128"/>
      <c r="F37" s="84"/>
      <c r="G37" s="84"/>
      <c r="H37" s="84"/>
      <c r="I37" s="128"/>
    </row>
    <row r="38" spans="1:9" s="85" customFormat="1" ht="12.75">
      <c r="A38" s="74" t="s">
        <v>6</v>
      </c>
      <c r="C38" s="128"/>
      <c r="D38" s="84"/>
      <c r="E38" s="128"/>
      <c r="F38" s="84"/>
      <c r="G38" s="84"/>
      <c r="H38" s="84"/>
      <c r="I38" s="128"/>
    </row>
    <row r="39" spans="1:9" s="85" customFormat="1" ht="12.75">
      <c r="A39" s="74"/>
      <c r="C39" s="128"/>
      <c r="D39" s="84"/>
      <c r="E39" s="128"/>
      <c r="F39" s="84"/>
      <c r="G39" s="84"/>
      <c r="H39" s="84"/>
      <c r="I39" s="128"/>
    </row>
    <row r="40" spans="1:9" s="85" customFormat="1" ht="12.75">
      <c r="A40" s="85" t="s">
        <v>7</v>
      </c>
      <c r="C40" s="128">
        <v>-254.8659029999999</v>
      </c>
      <c r="D40" s="84"/>
      <c r="E40" s="128">
        <v>-271</v>
      </c>
      <c r="F40" s="84"/>
      <c r="G40" s="128">
        <v>-254.8659029999999</v>
      </c>
      <c r="H40" s="84"/>
      <c r="I40" s="128">
        <v>-271</v>
      </c>
    </row>
    <row r="41" spans="3:9" s="85" customFormat="1" ht="12.75">
      <c r="C41" s="128"/>
      <c r="D41" s="84"/>
      <c r="E41" s="128"/>
      <c r="F41" s="84"/>
      <c r="G41" s="84"/>
      <c r="H41" s="84"/>
      <c r="I41" s="128"/>
    </row>
    <row r="42" spans="1:9" s="85" customFormat="1" ht="12.75">
      <c r="A42" s="85" t="s">
        <v>126</v>
      </c>
      <c r="C42" s="84">
        <v>-4.327587</v>
      </c>
      <c r="D42" s="84"/>
      <c r="E42" s="127">
        <v>-56</v>
      </c>
      <c r="F42" s="84"/>
      <c r="G42" s="84">
        <v>-4.327587</v>
      </c>
      <c r="H42" s="84"/>
      <c r="I42" s="127">
        <v>-56</v>
      </c>
    </row>
    <row r="43" spans="3:9" s="85" customFormat="1" ht="12.75">
      <c r="C43" s="84"/>
      <c r="D43" s="84"/>
      <c r="E43" s="128"/>
      <c r="F43" s="84"/>
      <c r="G43" s="84"/>
      <c r="H43" s="84"/>
      <c r="I43" s="128"/>
    </row>
    <row r="44" spans="1:9" s="85" customFormat="1" ht="13.5" thickBot="1">
      <c r="A44" s="74" t="s">
        <v>348</v>
      </c>
      <c r="C44" s="151">
        <v>-259.1934899999999</v>
      </c>
      <c r="D44" s="84"/>
      <c r="E44" s="151">
        <v>-327</v>
      </c>
      <c r="F44" s="84"/>
      <c r="G44" s="151">
        <v>-259.1934899999999</v>
      </c>
      <c r="H44" s="84"/>
      <c r="I44" s="151">
        <v>-327</v>
      </c>
    </row>
    <row r="45" spans="3:9" s="85" customFormat="1" ht="12.75">
      <c r="C45" s="84"/>
      <c r="D45" s="84"/>
      <c r="E45" s="128"/>
      <c r="F45" s="84"/>
      <c r="G45" s="84"/>
      <c r="H45" s="84"/>
      <c r="I45" s="128"/>
    </row>
    <row r="46" spans="1:10" s="71" customFormat="1" ht="12.75">
      <c r="A46" s="71" t="s">
        <v>37</v>
      </c>
      <c r="B46" s="140" t="s">
        <v>38</v>
      </c>
      <c r="C46" s="97">
        <v>-0.09301451019740237</v>
      </c>
      <c r="D46" s="97"/>
      <c r="E46" s="97">
        <v>-0.11734764185069074</v>
      </c>
      <c r="F46" s="98"/>
      <c r="G46" s="97">
        <v>-0.09301451019740237</v>
      </c>
      <c r="H46" s="97"/>
      <c r="I46" s="97">
        <v>-0.11734764185069074</v>
      </c>
      <c r="J46" s="97"/>
    </row>
    <row r="47" spans="3:9" s="71" customFormat="1" ht="12.75">
      <c r="C47" s="98"/>
      <c r="D47" s="98"/>
      <c r="E47" s="98"/>
      <c r="F47" s="98"/>
      <c r="G47" s="98"/>
      <c r="H47" s="98"/>
      <c r="I47" s="98"/>
    </row>
    <row r="48" spans="1:9" s="71" customFormat="1" ht="12.75">
      <c r="A48" s="71" t="s">
        <v>39</v>
      </c>
      <c r="B48" s="140" t="s">
        <v>40</v>
      </c>
      <c r="C48" s="141" t="s">
        <v>127</v>
      </c>
      <c r="D48" s="141"/>
      <c r="E48" s="141" t="s">
        <v>127</v>
      </c>
      <c r="F48" s="141"/>
      <c r="G48" s="141" t="s">
        <v>127</v>
      </c>
      <c r="H48" s="141"/>
      <c r="I48" s="141" t="s">
        <v>127</v>
      </c>
    </row>
    <row r="49" spans="3:9" s="85" customFormat="1" ht="12.75">
      <c r="C49" s="84"/>
      <c r="D49" s="84"/>
      <c r="E49" s="84"/>
      <c r="F49" s="84"/>
      <c r="G49" s="84"/>
      <c r="H49" s="84"/>
      <c r="I49" s="84"/>
    </row>
    <row r="50" spans="1:9" ht="12.75">
      <c r="A50" s="88"/>
      <c r="C50" s="89"/>
      <c r="D50" s="89"/>
      <c r="E50" s="89"/>
      <c r="F50" s="89"/>
      <c r="G50" s="89"/>
      <c r="H50" s="89"/>
      <c r="I50" s="89"/>
    </row>
    <row r="51" spans="1:9" s="92" customFormat="1" ht="12.75">
      <c r="A51" s="73"/>
      <c r="B51" s="90"/>
      <c r="C51" s="91"/>
      <c r="D51" s="91"/>
      <c r="E51" s="91"/>
      <c r="F51" s="91"/>
      <c r="G51" s="91"/>
      <c r="H51" s="91"/>
      <c r="I51" s="91"/>
    </row>
    <row r="52" spans="1:9" ht="12.75">
      <c r="A52" s="94" t="s">
        <v>161</v>
      </c>
      <c r="B52" s="95"/>
      <c r="C52" s="96"/>
      <c r="D52" s="96"/>
      <c r="E52" s="96"/>
      <c r="F52" s="96"/>
      <c r="G52" s="96"/>
      <c r="H52" s="96"/>
      <c r="I52" s="89"/>
    </row>
    <row r="53" spans="1:9" ht="12.75">
      <c r="A53" s="94" t="s">
        <v>259</v>
      </c>
      <c r="B53" s="95"/>
      <c r="C53" s="96"/>
      <c r="D53" s="96"/>
      <c r="E53" s="96"/>
      <c r="F53" s="96"/>
      <c r="G53" s="96"/>
      <c r="H53" s="96"/>
      <c r="I53" s="89"/>
    </row>
    <row r="54" spans="3:9" ht="12.75">
      <c r="C54" s="89"/>
      <c r="D54" s="89"/>
      <c r="E54" s="89"/>
      <c r="F54" s="89"/>
      <c r="G54" s="89"/>
      <c r="H54" s="89"/>
      <c r="I54" s="89"/>
    </row>
    <row r="55" spans="3:9" ht="12.75">
      <c r="C55" s="89"/>
      <c r="D55" s="89"/>
      <c r="E55" s="89"/>
      <c r="F55" s="89"/>
      <c r="G55" s="89"/>
      <c r="H55" s="89"/>
      <c r="I55" s="89"/>
    </row>
    <row r="56" spans="3:9" ht="12.75">
      <c r="C56" s="89"/>
      <c r="D56" s="89"/>
      <c r="E56" s="89"/>
      <c r="F56" s="89"/>
      <c r="G56" s="89"/>
      <c r="H56" s="89"/>
      <c r="I56" s="89"/>
    </row>
    <row r="57" spans="3:9" ht="12.75">
      <c r="C57" s="89"/>
      <c r="D57" s="89"/>
      <c r="E57" s="89"/>
      <c r="F57" s="89"/>
      <c r="G57" s="89"/>
      <c r="H57" s="89"/>
      <c r="I57" s="89"/>
    </row>
    <row r="58" spans="3:9" ht="12.75">
      <c r="C58" s="89"/>
      <c r="D58" s="89"/>
      <c r="E58" s="89"/>
      <c r="F58" s="89"/>
      <c r="G58" s="89"/>
      <c r="H58" s="89"/>
      <c r="I58" s="89"/>
    </row>
    <row r="59" spans="3:9" ht="12.75">
      <c r="C59" s="89"/>
      <c r="D59" s="89"/>
      <c r="E59" s="89"/>
      <c r="F59" s="89"/>
      <c r="G59" s="89"/>
      <c r="H59" s="89"/>
      <c r="I59" s="89"/>
    </row>
    <row r="60" spans="3:9" ht="12.75">
      <c r="C60" s="89"/>
      <c r="D60" s="89"/>
      <c r="E60" s="89"/>
      <c r="F60" s="89"/>
      <c r="G60" s="89"/>
      <c r="H60" s="89"/>
      <c r="I60" s="89"/>
    </row>
    <row r="61" spans="3:9" ht="12.75">
      <c r="C61" s="89"/>
      <c r="D61" s="89"/>
      <c r="E61" s="89"/>
      <c r="F61" s="89"/>
      <c r="G61" s="89"/>
      <c r="H61" s="89"/>
      <c r="I61" s="89"/>
    </row>
    <row r="62" spans="3:9" ht="12.75">
      <c r="C62" s="89"/>
      <c r="D62" s="89"/>
      <c r="E62" s="89"/>
      <c r="F62" s="89"/>
      <c r="G62" s="89"/>
      <c r="H62" s="89"/>
      <c r="I62" s="89"/>
    </row>
    <row r="63" spans="3:9" ht="12.75">
      <c r="C63" s="89"/>
      <c r="D63" s="89"/>
      <c r="E63" s="89"/>
      <c r="F63" s="89"/>
      <c r="G63" s="89"/>
      <c r="H63" s="89"/>
      <c r="I63" s="89"/>
    </row>
    <row r="64" spans="3:9" ht="12.75">
      <c r="C64" s="89"/>
      <c r="D64" s="89"/>
      <c r="E64" s="89"/>
      <c r="F64" s="89"/>
      <c r="G64" s="89"/>
      <c r="H64" s="89"/>
      <c r="I64" s="89"/>
    </row>
    <row r="65" spans="3:9" ht="12.75">
      <c r="C65" s="89"/>
      <c r="D65" s="89"/>
      <c r="E65" s="89"/>
      <c r="F65" s="89"/>
      <c r="G65" s="89"/>
      <c r="H65" s="89"/>
      <c r="I65" s="89"/>
    </row>
    <row r="66" spans="3:9" ht="12.75">
      <c r="C66" s="89"/>
      <c r="D66" s="89"/>
      <c r="E66" s="89"/>
      <c r="F66" s="89"/>
      <c r="G66" s="89"/>
      <c r="H66" s="89"/>
      <c r="I66" s="89"/>
    </row>
    <row r="67" spans="3:9" ht="12.75">
      <c r="C67" s="89"/>
      <c r="D67" s="89"/>
      <c r="E67" s="89"/>
      <c r="F67" s="89"/>
      <c r="G67" s="89"/>
      <c r="H67" s="89"/>
      <c r="I67" s="89"/>
    </row>
    <row r="68" spans="3:9" ht="12.75">
      <c r="C68" s="89"/>
      <c r="D68" s="89"/>
      <c r="E68" s="89"/>
      <c r="F68" s="89"/>
      <c r="G68" s="89"/>
      <c r="H68" s="89"/>
      <c r="I68" s="89"/>
    </row>
    <row r="69" spans="3:9" ht="12.75">
      <c r="C69" s="89"/>
      <c r="D69" s="89"/>
      <c r="E69" s="89"/>
      <c r="F69" s="89"/>
      <c r="G69" s="89"/>
      <c r="H69" s="89"/>
      <c r="I69" s="89"/>
    </row>
    <row r="70" spans="3:9" ht="12.75">
      <c r="C70" s="89"/>
      <c r="D70" s="89"/>
      <c r="E70" s="89"/>
      <c r="F70" s="89"/>
      <c r="G70" s="89"/>
      <c r="H70" s="89"/>
      <c r="I70" s="89"/>
    </row>
    <row r="71" spans="3:9" ht="12.75">
      <c r="C71" s="89"/>
      <c r="D71" s="89"/>
      <c r="E71" s="89"/>
      <c r="F71" s="89"/>
      <c r="G71" s="89"/>
      <c r="H71" s="89"/>
      <c r="I71" s="89"/>
    </row>
    <row r="72" spans="3:9" ht="12.75">
      <c r="C72" s="89"/>
      <c r="D72" s="89"/>
      <c r="E72" s="89"/>
      <c r="F72" s="89"/>
      <c r="G72" s="89"/>
      <c r="H72" s="89"/>
      <c r="I72" s="89"/>
    </row>
    <row r="73" spans="3:9" ht="12.75">
      <c r="C73" s="89"/>
      <c r="D73" s="89"/>
      <c r="E73" s="89"/>
      <c r="F73" s="89"/>
      <c r="G73" s="89"/>
      <c r="H73" s="89"/>
      <c r="I73" s="89"/>
    </row>
    <row r="74" spans="3:9" ht="12.75">
      <c r="C74" s="89"/>
      <c r="D74" s="89"/>
      <c r="E74" s="89"/>
      <c r="F74" s="89"/>
      <c r="G74" s="89"/>
      <c r="H74" s="89"/>
      <c r="I74" s="89"/>
    </row>
    <row r="75" spans="3:9" ht="12.75">
      <c r="C75" s="89"/>
      <c r="D75" s="89"/>
      <c r="E75" s="89"/>
      <c r="F75" s="89"/>
      <c r="G75" s="89"/>
      <c r="H75" s="89"/>
      <c r="I75" s="89"/>
    </row>
    <row r="76" spans="3:9" ht="12.75">
      <c r="C76" s="89"/>
      <c r="D76" s="89"/>
      <c r="E76" s="89"/>
      <c r="F76" s="89"/>
      <c r="G76" s="89"/>
      <c r="H76" s="89"/>
      <c r="I76" s="89"/>
    </row>
    <row r="77" spans="3:9" ht="12.75">
      <c r="C77" s="89"/>
      <c r="D77" s="89"/>
      <c r="E77" s="89"/>
      <c r="F77" s="89"/>
      <c r="G77" s="89"/>
      <c r="H77" s="89"/>
      <c r="I77" s="89"/>
    </row>
    <row r="78" spans="3:9" ht="12.75">
      <c r="C78" s="89"/>
      <c r="D78" s="89"/>
      <c r="E78" s="89"/>
      <c r="F78" s="89"/>
      <c r="G78" s="89"/>
      <c r="H78" s="89"/>
      <c r="I78" s="89"/>
    </row>
    <row r="79" spans="3:9" ht="12.75">
      <c r="C79" s="89"/>
      <c r="D79" s="89"/>
      <c r="E79" s="89"/>
      <c r="F79" s="89"/>
      <c r="G79" s="89"/>
      <c r="H79" s="89"/>
      <c r="I79" s="89"/>
    </row>
    <row r="80" spans="3:9" ht="12.75">
      <c r="C80" s="89"/>
      <c r="D80" s="89"/>
      <c r="E80" s="89"/>
      <c r="F80" s="89"/>
      <c r="G80" s="89"/>
      <c r="H80" s="89"/>
      <c r="I80" s="89"/>
    </row>
    <row r="81" spans="3:9" ht="12.75">
      <c r="C81" s="89"/>
      <c r="D81" s="89"/>
      <c r="E81" s="89"/>
      <c r="F81" s="89"/>
      <c r="G81" s="89"/>
      <c r="H81" s="89"/>
      <c r="I81" s="89"/>
    </row>
    <row r="82" spans="3:9" ht="12.75">
      <c r="C82" s="89"/>
      <c r="D82" s="89"/>
      <c r="E82" s="89"/>
      <c r="F82" s="89"/>
      <c r="G82" s="89"/>
      <c r="H82" s="89"/>
      <c r="I82" s="89"/>
    </row>
    <row r="83" spans="3:9" ht="12.75">
      <c r="C83" s="89"/>
      <c r="D83" s="89"/>
      <c r="E83" s="89"/>
      <c r="F83" s="89"/>
      <c r="G83" s="89"/>
      <c r="H83" s="89"/>
      <c r="I83" s="89"/>
    </row>
    <row r="84" spans="3:9" ht="12.75">
      <c r="C84" s="89"/>
      <c r="D84" s="89"/>
      <c r="E84" s="89"/>
      <c r="F84" s="89"/>
      <c r="G84" s="89"/>
      <c r="H84" s="89"/>
      <c r="I84" s="89"/>
    </row>
    <row r="85" spans="3:9" ht="12.75">
      <c r="C85" s="89"/>
      <c r="D85" s="89"/>
      <c r="E85" s="89"/>
      <c r="F85" s="89"/>
      <c r="G85" s="89"/>
      <c r="H85" s="89"/>
      <c r="I85" s="89"/>
    </row>
    <row r="86" spans="3:9" ht="12.75">
      <c r="C86" s="89"/>
      <c r="D86" s="89"/>
      <c r="E86" s="89"/>
      <c r="F86" s="89"/>
      <c r="G86" s="89"/>
      <c r="H86" s="89"/>
      <c r="I86" s="89"/>
    </row>
    <row r="87" spans="3:9" ht="12.75">
      <c r="C87" s="89"/>
      <c r="D87" s="89"/>
      <c r="E87" s="89"/>
      <c r="F87" s="89"/>
      <c r="G87" s="89"/>
      <c r="H87" s="89"/>
      <c r="I87" s="89"/>
    </row>
    <row r="88" spans="3:9" ht="12.75">
      <c r="C88" s="89"/>
      <c r="D88" s="89"/>
      <c r="E88" s="89"/>
      <c r="F88" s="89"/>
      <c r="G88" s="89"/>
      <c r="H88" s="89"/>
      <c r="I88" s="89"/>
    </row>
    <row r="89" spans="3:9" ht="12.75">
      <c r="C89" s="89"/>
      <c r="D89" s="89"/>
      <c r="E89" s="89"/>
      <c r="F89" s="89"/>
      <c r="G89" s="89"/>
      <c r="H89" s="89"/>
      <c r="I89" s="89"/>
    </row>
    <row r="90" spans="3:9" ht="12.75">
      <c r="C90" s="89"/>
      <c r="D90" s="89"/>
      <c r="E90" s="89"/>
      <c r="F90" s="89"/>
      <c r="G90" s="89"/>
      <c r="H90" s="89"/>
      <c r="I90" s="89"/>
    </row>
    <row r="91" spans="3:9" ht="12.75">
      <c r="C91" s="89"/>
      <c r="D91" s="89"/>
      <c r="E91" s="89"/>
      <c r="F91" s="89"/>
      <c r="G91" s="89"/>
      <c r="H91" s="89"/>
      <c r="I91" s="89"/>
    </row>
    <row r="92" spans="3:9" ht="12.75">
      <c r="C92" s="89"/>
      <c r="D92" s="89"/>
      <c r="E92" s="89"/>
      <c r="F92" s="89"/>
      <c r="G92" s="89"/>
      <c r="H92" s="89"/>
      <c r="I92" s="89"/>
    </row>
    <row r="93" spans="3:9" ht="12.75">
      <c r="C93" s="89"/>
      <c r="D93" s="89"/>
      <c r="E93" s="89"/>
      <c r="F93" s="89"/>
      <c r="G93" s="89"/>
      <c r="H93" s="89"/>
      <c r="I93" s="89"/>
    </row>
    <row r="94" spans="3:9" ht="12.75">
      <c r="C94" s="89"/>
      <c r="D94" s="89"/>
      <c r="E94" s="89"/>
      <c r="F94" s="89"/>
      <c r="G94" s="89"/>
      <c r="H94" s="89"/>
      <c r="I94" s="89"/>
    </row>
    <row r="95" spans="3:9" ht="12.75">
      <c r="C95" s="89"/>
      <c r="D95" s="89"/>
      <c r="E95" s="89"/>
      <c r="F95" s="89"/>
      <c r="G95" s="89"/>
      <c r="H95" s="89"/>
      <c r="I95" s="89"/>
    </row>
    <row r="96" spans="3:9" ht="12.75">
      <c r="C96" s="89"/>
      <c r="D96" s="89"/>
      <c r="E96" s="89"/>
      <c r="F96" s="89"/>
      <c r="G96" s="89"/>
      <c r="H96" s="89"/>
      <c r="I96" s="89"/>
    </row>
    <row r="97" spans="3:9" ht="12.75">
      <c r="C97" s="89"/>
      <c r="D97" s="89"/>
      <c r="E97" s="89"/>
      <c r="F97" s="89"/>
      <c r="G97" s="89"/>
      <c r="H97" s="89"/>
      <c r="I97" s="89"/>
    </row>
    <row r="98" spans="3:9" ht="12.75">
      <c r="C98" s="89"/>
      <c r="D98" s="89"/>
      <c r="E98" s="89"/>
      <c r="F98" s="89"/>
      <c r="G98" s="89"/>
      <c r="H98" s="89"/>
      <c r="I98" s="89"/>
    </row>
    <row r="99" spans="3:9" ht="12.75">
      <c r="C99" s="89"/>
      <c r="D99" s="89"/>
      <c r="E99" s="89"/>
      <c r="F99" s="89"/>
      <c r="G99" s="89"/>
      <c r="H99" s="89"/>
      <c r="I99" s="89"/>
    </row>
    <row r="100" spans="3:9" ht="12.75">
      <c r="C100" s="89"/>
      <c r="D100" s="89"/>
      <c r="E100" s="89"/>
      <c r="F100" s="89"/>
      <c r="G100" s="89"/>
      <c r="H100" s="89"/>
      <c r="I100" s="89"/>
    </row>
    <row r="101" spans="3:9" ht="12.75">
      <c r="C101" s="89"/>
      <c r="D101" s="89"/>
      <c r="E101" s="89"/>
      <c r="F101" s="89"/>
      <c r="G101" s="89"/>
      <c r="H101" s="89"/>
      <c r="I101" s="89"/>
    </row>
    <row r="102" spans="3:9" ht="12.75">
      <c r="C102" s="89"/>
      <c r="D102" s="89"/>
      <c r="E102" s="89"/>
      <c r="F102" s="89"/>
      <c r="G102" s="89"/>
      <c r="H102" s="89"/>
      <c r="I102" s="89"/>
    </row>
    <row r="103" spans="3:9" ht="12.75">
      <c r="C103" s="89"/>
      <c r="D103" s="89"/>
      <c r="E103" s="89"/>
      <c r="F103" s="89"/>
      <c r="G103" s="89"/>
      <c r="H103" s="89"/>
      <c r="I103" s="89"/>
    </row>
    <row r="104" spans="3:9" ht="12.75">
      <c r="C104" s="89"/>
      <c r="D104" s="89"/>
      <c r="E104" s="89"/>
      <c r="F104" s="89"/>
      <c r="G104" s="89"/>
      <c r="H104" s="89"/>
      <c r="I104" s="89"/>
    </row>
    <row r="105" spans="3:9" ht="12.75">
      <c r="C105" s="89"/>
      <c r="D105" s="89"/>
      <c r="E105" s="89"/>
      <c r="F105" s="89"/>
      <c r="G105" s="89"/>
      <c r="H105" s="89"/>
      <c r="I105" s="89"/>
    </row>
    <row r="106" spans="3:9" ht="12.75">
      <c r="C106" s="89"/>
      <c r="D106" s="89"/>
      <c r="E106" s="89"/>
      <c r="F106" s="89"/>
      <c r="G106" s="89"/>
      <c r="H106" s="89"/>
      <c r="I106" s="89"/>
    </row>
    <row r="107" spans="3:9" ht="12.75">
      <c r="C107" s="89"/>
      <c r="D107" s="89"/>
      <c r="E107" s="89"/>
      <c r="F107" s="89"/>
      <c r="G107" s="89"/>
      <c r="H107" s="89"/>
      <c r="I107" s="89"/>
    </row>
    <row r="108" spans="3:9" ht="12.75">
      <c r="C108" s="89"/>
      <c r="D108" s="89"/>
      <c r="E108" s="89"/>
      <c r="F108" s="89"/>
      <c r="G108" s="89"/>
      <c r="H108" s="89"/>
      <c r="I108" s="89"/>
    </row>
    <row r="109" spans="3:9" ht="12.75">
      <c r="C109" s="89"/>
      <c r="D109" s="89"/>
      <c r="E109" s="89"/>
      <c r="F109" s="89"/>
      <c r="G109" s="89"/>
      <c r="H109" s="89"/>
      <c r="I109" s="89"/>
    </row>
    <row r="110" spans="3:9" ht="12.75">
      <c r="C110" s="89"/>
      <c r="D110" s="89"/>
      <c r="E110" s="89"/>
      <c r="F110" s="89"/>
      <c r="G110" s="89"/>
      <c r="H110" s="89"/>
      <c r="I110" s="89"/>
    </row>
    <row r="111" spans="3:9" ht="12.75">
      <c r="C111" s="89"/>
      <c r="D111" s="89"/>
      <c r="E111" s="89"/>
      <c r="F111" s="89"/>
      <c r="G111" s="89"/>
      <c r="H111" s="89"/>
      <c r="I111" s="89"/>
    </row>
    <row r="112" spans="3:9" ht="12.75">
      <c r="C112" s="89"/>
      <c r="D112" s="89"/>
      <c r="E112" s="89"/>
      <c r="F112" s="89"/>
      <c r="G112" s="89"/>
      <c r="H112" s="89"/>
      <c r="I112" s="89"/>
    </row>
    <row r="113" spans="3:9" ht="12.75">
      <c r="C113" s="89"/>
      <c r="D113" s="89"/>
      <c r="E113" s="89"/>
      <c r="F113" s="89"/>
      <c r="G113" s="89"/>
      <c r="H113" s="89"/>
      <c r="I113" s="89"/>
    </row>
    <row r="114" spans="3:9" ht="12.75">
      <c r="C114" s="89"/>
      <c r="D114" s="89"/>
      <c r="E114" s="89"/>
      <c r="F114" s="89"/>
      <c r="G114" s="89"/>
      <c r="H114" s="89"/>
      <c r="I114" s="89"/>
    </row>
    <row r="115" spans="3:9" ht="12.75">
      <c r="C115" s="89"/>
      <c r="D115" s="89"/>
      <c r="E115" s="89"/>
      <c r="F115" s="89"/>
      <c r="G115" s="89"/>
      <c r="H115" s="89"/>
      <c r="I115" s="89"/>
    </row>
    <row r="116" spans="3:9" ht="12.75">
      <c r="C116" s="89"/>
      <c r="D116" s="89"/>
      <c r="E116" s="89"/>
      <c r="F116" s="89"/>
      <c r="G116" s="89"/>
      <c r="H116" s="89"/>
      <c r="I116" s="89"/>
    </row>
    <row r="117" spans="3:9" ht="12.75">
      <c r="C117" s="89"/>
      <c r="D117" s="89"/>
      <c r="E117" s="89"/>
      <c r="F117" s="89"/>
      <c r="G117" s="89"/>
      <c r="H117" s="89"/>
      <c r="I117" s="89"/>
    </row>
    <row r="118" spans="3:9" ht="12.75">
      <c r="C118" s="89"/>
      <c r="D118" s="89"/>
      <c r="E118" s="89"/>
      <c r="F118" s="89"/>
      <c r="G118" s="89"/>
      <c r="H118" s="89"/>
      <c r="I118" s="89"/>
    </row>
    <row r="119" spans="3:9" ht="12.75">
      <c r="C119" s="89"/>
      <c r="D119" s="89"/>
      <c r="E119" s="89"/>
      <c r="F119" s="89"/>
      <c r="G119" s="89"/>
      <c r="H119" s="89"/>
      <c r="I119" s="89"/>
    </row>
    <row r="120" spans="3:9" ht="12.75">
      <c r="C120" s="89"/>
      <c r="D120" s="89"/>
      <c r="E120" s="89"/>
      <c r="F120" s="89"/>
      <c r="G120" s="89"/>
      <c r="H120" s="89"/>
      <c r="I120" s="89"/>
    </row>
    <row r="121" spans="3:9" ht="12.75">
      <c r="C121" s="89"/>
      <c r="D121" s="89"/>
      <c r="E121" s="89"/>
      <c r="F121" s="89"/>
      <c r="G121" s="89"/>
      <c r="H121" s="89"/>
      <c r="I121" s="89"/>
    </row>
    <row r="122" spans="3:9" ht="12.75">
      <c r="C122" s="89"/>
      <c r="D122" s="89"/>
      <c r="E122" s="89"/>
      <c r="F122" s="89"/>
      <c r="G122" s="89"/>
      <c r="H122" s="89"/>
      <c r="I122" s="89"/>
    </row>
    <row r="123" spans="3:9" ht="12.75">
      <c r="C123" s="89"/>
      <c r="D123" s="89"/>
      <c r="E123" s="89"/>
      <c r="F123" s="89"/>
      <c r="G123" s="89"/>
      <c r="H123" s="89"/>
      <c r="I123" s="89"/>
    </row>
    <row r="124" spans="3:9" ht="12.75">
      <c r="C124" s="89"/>
      <c r="D124" s="89"/>
      <c r="E124" s="89"/>
      <c r="F124" s="89"/>
      <c r="G124" s="89"/>
      <c r="H124" s="89"/>
      <c r="I124" s="89"/>
    </row>
    <row r="125" spans="3:9" ht="12.75">
      <c r="C125" s="89"/>
      <c r="D125" s="89"/>
      <c r="E125" s="89"/>
      <c r="F125" s="89"/>
      <c r="G125" s="89"/>
      <c r="H125" s="89"/>
      <c r="I125" s="89"/>
    </row>
    <row r="126" spans="3:9" ht="12.75">
      <c r="C126" s="89"/>
      <c r="D126" s="89"/>
      <c r="E126" s="89"/>
      <c r="F126" s="89"/>
      <c r="G126" s="89"/>
      <c r="H126" s="89"/>
      <c r="I126" s="89"/>
    </row>
    <row r="127" spans="3:9" ht="12.75">
      <c r="C127" s="89"/>
      <c r="D127" s="89"/>
      <c r="E127" s="89"/>
      <c r="F127" s="89"/>
      <c r="G127" s="89"/>
      <c r="H127" s="89"/>
      <c r="I127" s="89"/>
    </row>
    <row r="128" spans="3:9" ht="12.75">
      <c r="C128" s="89"/>
      <c r="D128" s="89"/>
      <c r="E128" s="89"/>
      <c r="F128" s="89"/>
      <c r="G128" s="89"/>
      <c r="H128" s="89"/>
      <c r="I128" s="89"/>
    </row>
    <row r="129" spans="3:9" ht="12.75">
      <c r="C129" s="89"/>
      <c r="D129" s="89"/>
      <c r="E129" s="89"/>
      <c r="F129" s="89"/>
      <c r="G129" s="89"/>
      <c r="H129" s="89"/>
      <c r="I129" s="89"/>
    </row>
    <row r="130" spans="3:9" ht="12.75">
      <c r="C130" s="89"/>
      <c r="D130" s="89"/>
      <c r="E130" s="89"/>
      <c r="F130" s="89"/>
      <c r="G130" s="89"/>
      <c r="H130" s="89"/>
      <c r="I130" s="89"/>
    </row>
    <row r="131" spans="3:9" ht="12.75">
      <c r="C131" s="89"/>
      <c r="D131" s="89"/>
      <c r="E131" s="89"/>
      <c r="F131" s="89"/>
      <c r="G131" s="89"/>
      <c r="H131" s="89"/>
      <c r="I131" s="89"/>
    </row>
    <row r="132" spans="3:9" ht="12.75">
      <c r="C132" s="89"/>
      <c r="D132" s="89"/>
      <c r="E132" s="89"/>
      <c r="F132" s="89"/>
      <c r="G132" s="89"/>
      <c r="H132" s="89"/>
      <c r="I132" s="89"/>
    </row>
    <row r="133" spans="3:9" ht="12.75">
      <c r="C133" s="89"/>
      <c r="D133" s="89"/>
      <c r="E133" s="89"/>
      <c r="F133" s="89"/>
      <c r="G133" s="89"/>
      <c r="H133" s="89"/>
      <c r="I133" s="89"/>
    </row>
    <row r="134" spans="3:9" ht="12.75">
      <c r="C134" s="89"/>
      <c r="D134" s="89"/>
      <c r="E134" s="89"/>
      <c r="F134" s="89"/>
      <c r="G134" s="89"/>
      <c r="H134" s="89"/>
      <c r="I134" s="89"/>
    </row>
    <row r="135" spans="3:9" ht="12.75">
      <c r="C135" s="89"/>
      <c r="D135" s="89"/>
      <c r="E135" s="89"/>
      <c r="F135" s="89"/>
      <c r="G135" s="89"/>
      <c r="H135" s="89"/>
      <c r="I135" s="89"/>
    </row>
    <row r="136" spans="3:9" ht="12.75">
      <c r="C136" s="89"/>
      <c r="D136" s="89"/>
      <c r="E136" s="89"/>
      <c r="F136" s="89"/>
      <c r="G136" s="89"/>
      <c r="H136" s="89"/>
      <c r="I136" s="89"/>
    </row>
    <row r="137" spans="3:9" ht="12.75">
      <c r="C137" s="89"/>
      <c r="D137" s="89"/>
      <c r="E137" s="89"/>
      <c r="F137" s="89"/>
      <c r="G137" s="89"/>
      <c r="H137" s="89"/>
      <c r="I137" s="89"/>
    </row>
    <row r="138" spans="3:9" ht="12.75">
      <c r="C138" s="89"/>
      <c r="D138" s="89"/>
      <c r="E138" s="89"/>
      <c r="F138" s="89"/>
      <c r="G138" s="89"/>
      <c r="H138" s="89"/>
      <c r="I138" s="89"/>
    </row>
    <row r="139" spans="3:9" ht="12.75">
      <c r="C139" s="89"/>
      <c r="D139" s="89"/>
      <c r="E139" s="89"/>
      <c r="F139" s="89"/>
      <c r="G139" s="89"/>
      <c r="H139" s="89"/>
      <c r="I139" s="89"/>
    </row>
    <row r="140" spans="3:9" ht="12.75">
      <c r="C140" s="89"/>
      <c r="D140" s="89"/>
      <c r="E140" s="89"/>
      <c r="F140" s="89"/>
      <c r="G140" s="89"/>
      <c r="H140" s="89"/>
      <c r="I140" s="89"/>
    </row>
    <row r="141" spans="3:9" ht="12.75">
      <c r="C141" s="89"/>
      <c r="D141" s="89"/>
      <c r="E141" s="89"/>
      <c r="F141" s="89"/>
      <c r="G141" s="89"/>
      <c r="H141" s="89"/>
      <c r="I141" s="89"/>
    </row>
    <row r="142" spans="3:9" ht="12.75">
      <c r="C142" s="89"/>
      <c r="D142" s="89"/>
      <c r="E142" s="89"/>
      <c r="F142" s="89"/>
      <c r="G142" s="89"/>
      <c r="H142" s="89"/>
      <c r="I142" s="89"/>
    </row>
    <row r="143" spans="3:9" ht="12.75">
      <c r="C143" s="89"/>
      <c r="D143" s="89"/>
      <c r="E143" s="89"/>
      <c r="F143" s="89"/>
      <c r="G143" s="89"/>
      <c r="H143" s="89"/>
      <c r="I143" s="89"/>
    </row>
    <row r="144" spans="3:9" ht="12.75">
      <c r="C144" s="89"/>
      <c r="D144" s="89"/>
      <c r="E144" s="89"/>
      <c r="F144" s="89"/>
      <c r="G144" s="89"/>
      <c r="H144" s="89"/>
      <c r="I144" s="89"/>
    </row>
    <row r="145" spans="3:9" ht="12.75">
      <c r="C145" s="89"/>
      <c r="D145" s="89"/>
      <c r="E145" s="89"/>
      <c r="F145" s="89"/>
      <c r="G145" s="89"/>
      <c r="H145" s="89"/>
      <c r="I145" s="89"/>
    </row>
    <row r="146" spans="3:9" ht="12.75">
      <c r="C146" s="89"/>
      <c r="D146" s="89"/>
      <c r="E146" s="89"/>
      <c r="F146" s="89"/>
      <c r="G146" s="89"/>
      <c r="H146" s="89"/>
      <c r="I146" s="89"/>
    </row>
    <row r="147" spans="3:9" ht="12.75">
      <c r="C147" s="89"/>
      <c r="D147" s="89"/>
      <c r="E147" s="89"/>
      <c r="F147" s="89"/>
      <c r="G147" s="89"/>
      <c r="H147" s="89"/>
      <c r="I147" s="89"/>
    </row>
    <row r="148" spans="3:9" ht="12.75">
      <c r="C148" s="89"/>
      <c r="D148" s="89"/>
      <c r="E148" s="89"/>
      <c r="F148" s="89"/>
      <c r="G148" s="89"/>
      <c r="H148" s="89"/>
      <c r="I148" s="89"/>
    </row>
    <row r="149" spans="3:9" ht="12.75">
      <c r="C149" s="89"/>
      <c r="D149" s="89"/>
      <c r="E149" s="89"/>
      <c r="F149" s="89"/>
      <c r="G149" s="89"/>
      <c r="H149" s="89"/>
      <c r="I149" s="89"/>
    </row>
    <row r="150" spans="3:9" ht="12.75">
      <c r="C150" s="89"/>
      <c r="D150" s="89"/>
      <c r="E150" s="89"/>
      <c r="F150" s="89"/>
      <c r="G150" s="89"/>
      <c r="H150" s="89"/>
      <c r="I150" s="89"/>
    </row>
    <row r="151" spans="3:9" ht="12.75">
      <c r="C151" s="89"/>
      <c r="D151" s="89"/>
      <c r="E151" s="89"/>
      <c r="F151" s="89"/>
      <c r="G151" s="89"/>
      <c r="H151" s="89"/>
      <c r="I151" s="89"/>
    </row>
    <row r="152" spans="3:9" ht="12.75">
      <c r="C152" s="89"/>
      <c r="D152" s="89"/>
      <c r="E152" s="89"/>
      <c r="F152" s="89"/>
      <c r="G152" s="89"/>
      <c r="H152" s="89"/>
      <c r="I152" s="89"/>
    </row>
    <row r="153" spans="3:9" ht="12.75">
      <c r="C153" s="89"/>
      <c r="D153" s="89"/>
      <c r="E153" s="89"/>
      <c r="F153" s="89"/>
      <c r="G153" s="89"/>
      <c r="H153" s="89"/>
      <c r="I153" s="89"/>
    </row>
    <row r="154" spans="3:9" ht="12.75">
      <c r="C154" s="89"/>
      <c r="D154" s="89"/>
      <c r="E154" s="89"/>
      <c r="F154" s="89"/>
      <c r="G154" s="89"/>
      <c r="H154" s="89"/>
      <c r="I154" s="89"/>
    </row>
    <row r="155" spans="3:9" ht="12.75">
      <c r="C155" s="89"/>
      <c r="D155" s="89"/>
      <c r="E155" s="89"/>
      <c r="F155" s="89"/>
      <c r="G155" s="89"/>
      <c r="H155" s="89"/>
      <c r="I155" s="89"/>
    </row>
    <row r="156" spans="3:9" ht="12.75">
      <c r="C156" s="89"/>
      <c r="D156" s="89"/>
      <c r="E156" s="89"/>
      <c r="F156" s="89"/>
      <c r="G156" s="89"/>
      <c r="H156" s="89"/>
      <c r="I156" s="89"/>
    </row>
    <row r="157" spans="3:9" ht="12.75">
      <c r="C157" s="89"/>
      <c r="D157" s="89"/>
      <c r="E157" s="89"/>
      <c r="F157" s="89"/>
      <c r="G157" s="89"/>
      <c r="H157" s="89"/>
      <c r="I157" s="89"/>
    </row>
    <row r="158" spans="3:9" ht="12.75">
      <c r="C158" s="89"/>
      <c r="D158" s="89"/>
      <c r="E158" s="89"/>
      <c r="F158" s="89"/>
      <c r="G158" s="89"/>
      <c r="H158" s="89"/>
      <c r="I158" s="89"/>
    </row>
    <row r="159" spans="3:9" ht="12.75">
      <c r="C159" s="89"/>
      <c r="D159" s="89"/>
      <c r="E159" s="89"/>
      <c r="F159" s="89"/>
      <c r="G159" s="89"/>
      <c r="H159" s="89"/>
      <c r="I159" s="89"/>
    </row>
    <row r="160" spans="3:9" ht="12.75">
      <c r="C160" s="89"/>
      <c r="D160" s="89"/>
      <c r="E160" s="89"/>
      <c r="F160" s="89"/>
      <c r="G160" s="89"/>
      <c r="H160" s="89"/>
      <c r="I160" s="89"/>
    </row>
    <row r="161" spans="3:9" ht="12.75">
      <c r="C161" s="89"/>
      <c r="D161" s="89"/>
      <c r="E161" s="89"/>
      <c r="F161" s="89"/>
      <c r="G161" s="89"/>
      <c r="H161" s="89"/>
      <c r="I161" s="89"/>
    </row>
    <row r="162" spans="3:9" ht="12.75">
      <c r="C162" s="89"/>
      <c r="D162" s="89"/>
      <c r="E162" s="89"/>
      <c r="F162" s="89"/>
      <c r="G162" s="89"/>
      <c r="H162" s="89"/>
      <c r="I162" s="89"/>
    </row>
    <row r="163" spans="3:9" ht="12.75">
      <c r="C163" s="89"/>
      <c r="D163" s="89"/>
      <c r="E163" s="89"/>
      <c r="F163" s="89"/>
      <c r="G163" s="89"/>
      <c r="H163" s="89"/>
      <c r="I163" s="89"/>
    </row>
    <row r="164" spans="3:9" ht="12.75">
      <c r="C164" s="89"/>
      <c r="D164" s="89"/>
      <c r="E164" s="89"/>
      <c r="F164" s="89"/>
      <c r="G164" s="89"/>
      <c r="H164" s="89"/>
      <c r="I164" s="89"/>
    </row>
    <row r="165" spans="3:9" ht="12.75">
      <c r="C165" s="89"/>
      <c r="D165" s="89"/>
      <c r="E165" s="89"/>
      <c r="F165" s="89"/>
      <c r="G165" s="89"/>
      <c r="H165" s="89"/>
      <c r="I165" s="89"/>
    </row>
    <row r="166" spans="3:9" ht="12.75">
      <c r="C166" s="89"/>
      <c r="D166" s="89"/>
      <c r="E166" s="89"/>
      <c r="F166" s="89"/>
      <c r="G166" s="89"/>
      <c r="H166" s="89"/>
      <c r="I166" s="89"/>
    </row>
    <row r="167" spans="3:9" ht="12.75">
      <c r="C167" s="89"/>
      <c r="D167" s="89"/>
      <c r="E167" s="89"/>
      <c r="F167" s="89"/>
      <c r="G167" s="89"/>
      <c r="H167" s="89"/>
      <c r="I167" s="89"/>
    </row>
    <row r="168" spans="3:9" ht="12.75">
      <c r="C168" s="89"/>
      <c r="D168" s="89"/>
      <c r="E168" s="89"/>
      <c r="F168" s="89"/>
      <c r="G168" s="89"/>
      <c r="H168" s="89"/>
      <c r="I168" s="89"/>
    </row>
    <row r="169" spans="3:9" ht="12.75">
      <c r="C169" s="89"/>
      <c r="D169" s="89"/>
      <c r="E169" s="89"/>
      <c r="F169" s="89"/>
      <c r="G169" s="89"/>
      <c r="H169" s="89"/>
      <c r="I169" s="89"/>
    </row>
    <row r="170" spans="3:9" ht="12.75">
      <c r="C170" s="89"/>
      <c r="D170" s="89"/>
      <c r="E170" s="89"/>
      <c r="F170" s="89"/>
      <c r="G170" s="89"/>
      <c r="H170" s="89"/>
      <c r="I170" s="89"/>
    </row>
    <row r="171" spans="3:9" ht="12.75">
      <c r="C171" s="89"/>
      <c r="D171" s="89"/>
      <c r="E171" s="89"/>
      <c r="F171" s="89"/>
      <c r="G171" s="89"/>
      <c r="H171" s="89"/>
      <c r="I171" s="89"/>
    </row>
    <row r="172" spans="3:9" ht="12.75">
      <c r="C172" s="89"/>
      <c r="D172" s="89"/>
      <c r="E172" s="89"/>
      <c r="F172" s="89"/>
      <c r="G172" s="89"/>
      <c r="H172" s="89"/>
      <c r="I172" s="89"/>
    </row>
    <row r="173" spans="3:9" ht="12.75">
      <c r="C173" s="89"/>
      <c r="D173" s="89"/>
      <c r="E173" s="89"/>
      <c r="F173" s="89"/>
      <c r="G173" s="89"/>
      <c r="H173" s="89"/>
      <c r="I173" s="89"/>
    </row>
    <row r="174" spans="3:9" ht="12.75">
      <c r="C174" s="89"/>
      <c r="D174" s="89"/>
      <c r="E174" s="89"/>
      <c r="F174" s="89"/>
      <c r="G174" s="89"/>
      <c r="H174" s="89"/>
      <c r="I174" s="89"/>
    </row>
    <row r="175" spans="3:9" ht="12.75">
      <c r="C175" s="89"/>
      <c r="D175" s="89"/>
      <c r="E175" s="89"/>
      <c r="F175" s="89"/>
      <c r="G175" s="89"/>
      <c r="H175" s="89"/>
      <c r="I175" s="89"/>
    </row>
    <row r="176" spans="3:9" ht="12.75">
      <c r="C176" s="89"/>
      <c r="D176" s="89"/>
      <c r="E176" s="89"/>
      <c r="F176" s="89"/>
      <c r="G176" s="89"/>
      <c r="H176" s="89"/>
      <c r="I176" s="89"/>
    </row>
    <row r="177" spans="3:9" ht="12.75">
      <c r="C177" s="89"/>
      <c r="D177" s="89"/>
      <c r="E177" s="89"/>
      <c r="F177" s="89"/>
      <c r="G177" s="89"/>
      <c r="H177" s="89"/>
      <c r="I177" s="89"/>
    </row>
    <row r="178" spans="3:9" ht="12.75">
      <c r="C178" s="89"/>
      <c r="D178" s="89"/>
      <c r="E178" s="89"/>
      <c r="F178" s="89"/>
      <c r="G178" s="89"/>
      <c r="H178" s="89"/>
      <c r="I178" s="89"/>
    </row>
    <row r="179" spans="3:9" ht="12.75">
      <c r="C179" s="89"/>
      <c r="D179" s="89"/>
      <c r="E179" s="89"/>
      <c r="F179" s="89"/>
      <c r="G179" s="89"/>
      <c r="H179" s="89"/>
      <c r="I179" s="89"/>
    </row>
    <row r="180" spans="3:9" ht="12.75">
      <c r="C180" s="89"/>
      <c r="D180" s="89"/>
      <c r="E180" s="89"/>
      <c r="F180" s="89"/>
      <c r="G180" s="89"/>
      <c r="H180" s="89"/>
      <c r="I180" s="89"/>
    </row>
    <row r="181" spans="3:9" ht="12.75">
      <c r="C181" s="89"/>
      <c r="D181" s="89"/>
      <c r="E181" s="89"/>
      <c r="F181" s="89"/>
      <c r="G181" s="89"/>
      <c r="H181" s="89"/>
      <c r="I181" s="89"/>
    </row>
    <row r="182" spans="3:9" ht="12.75">
      <c r="C182" s="89"/>
      <c r="D182" s="89"/>
      <c r="E182" s="89"/>
      <c r="F182" s="89"/>
      <c r="G182" s="89"/>
      <c r="H182" s="89"/>
      <c r="I182" s="89"/>
    </row>
    <row r="183" spans="3:9" ht="12.75">
      <c r="C183" s="89"/>
      <c r="D183" s="89"/>
      <c r="E183" s="89"/>
      <c r="F183" s="89"/>
      <c r="G183" s="89"/>
      <c r="H183" s="89"/>
      <c r="I183" s="89"/>
    </row>
    <row r="184" spans="3:9" ht="12.75">
      <c r="C184" s="89"/>
      <c r="D184" s="89"/>
      <c r="E184" s="89"/>
      <c r="F184" s="89"/>
      <c r="G184" s="89"/>
      <c r="H184" s="89"/>
      <c r="I184" s="89"/>
    </row>
    <row r="185" spans="3:9" ht="12.75">
      <c r="C185" s="89"/>
      <c r="D185" s="89"/>
      <c r="E185" s="89"/>
      <c r="F185" s="89"/>
      <c r="G185" s="89"/>
      <c r="H185" s="89"/>
      <c r="I185" s="89"/>
    </row>
    <row r="186" spans="3:9" ht="12.75">
      <c r="C186" s="89"/>
      <c r="D186" s="89"/>
      <c r="E186" s="89"/>
      <c r="F186" s="89"/>
      <c r="G186" s="89"/>
      <c r="H186" s="89"/>
      <c r="I186" s="89"/>
    </row>
    <row r="187" spans="3:9" ht="12.75">
      <c r="C187" s="89"/>
      <c r="D187" s="89"/>
      <c r="E187" s="89"/>
      <c r="F187" s="89"/>
      <c r="G187" s="89"/>
      <c r="H187" s="89"/>
      <c r="I187" s="89"/>
    </row>
    <row r="188" spans="3:9" ht="12.75">
      <c r="C188" s="89"/>
      <c r="D188" s="89"/>
      <c r="E188" s="89"/>
      <c r="F188" s="89"/>
      <c r="G188" s="89"/>
      <c r="H188" s="89"/>
      <c r="I188" s="89"/>
    </row>
    <row r="189" spans="3:9" ht="12.75">
      <c r="C189" s="89"/>
      <c r="D189" s="89"/>
      <c r="E189" s="89"/>
      <c r="F189" s="89"/>
      <c r="G189" s="89"/>
      <c r="H189" s="89"/>
      <c r="I189" s="89"/>
    </row>
    <row r="190" spans="3:9" ht="12.75">
      <c r="C190" s="89"/>
      <c r="D190" s="89"/>
      <c r="E190" s="89"/>
      <c r="F190" s="89"/>
      <c r="G190" s="89"/>
      <c r="H190" s="89"/>
      <c r="I190" s="89"/>
    </row>
    <row r="191" spans="3:9" ht="12.75">
      <c r="C191" s="89"/>
      <c r="D191" s="89"/>
      <c r="E191" s="89"/>
      <c r="F191" s="89"/>
      <c r="G191" s="89"/>
      <c r="H191" s="89"/>
      <c r="I191" s="89"/>
    </row>
    <row r="192" spans="3:9" ht="12.75">
      <c r="C192" s="89"/>
      <c r="D192" s="89"/>
      <c r="E192" s="89"/>
      <c r="F192" s="89"/>
      <c r="G192" s="89"/>
      <c r="H192" s="89"/>
      <c r="I192" s="89"/>
    </row>
    <row r="193" spans="3:9" ht="12.75">
      <c r="C193" s="89"/>
      <c r="D193" s="89"/>
      <c r="E193" s="89"/>
      <c r="F193" s="89"/>
      <c r="G193" s="89"/>
      <c r="H193" s="89"/>
      <c r="I193" s="89"/>
    </row>
    <row r="194" spans="3:9" ht="12.75">
      <c r="C194" s="89"/>
      <c r="D194" s="89"/>
      <c r="E194" s="89"/>
      <c r="F194" s="89"/>
      <c r="G194" s="89"/>
      <c r="H194" s="89"/>
      <c r="I194" s="89"/>
    </row>
    <row r="195" spans="3:9" ht="12.75">
      <c r="C195" s="89"/>
      <c r="D195" s="89"/>
      <c r="E195" s="89"/>
      <c r="F195" s="89"/>
      <c r="G195" s="89"/>
      <c r="H195" s="89"/>
      <c r="I195" s="89"/>
    </row>
    <row r="196" spans="3:9" ht="12.75">
      <c r="C196" s="89"/>
      <c r="D196" s="89"/>
      <c r="E196" s="89"/>
      <c r="F196" s="89"/>
      <c r="G196" s="89"/>
      <c r="H196" s="89"/>
      <c r="I196" s="89"/>
    </row>
    <row r="197" spans="3:9" ht="12.75">
      <c r="C197" s="89"/>
      <c r="D197" s="89"/>
      <c r="E197" s="89"/>
      <c r="F197" s="89"/>
      <c r="G197" s="89"/>
      <c r="H197" s="89"/>
      <c r="I197" s="89"/>
    </row>
    <row r="198" spans="3:9" ht="12.75">
      <c r="C198" s="89"/>
      <c r="D198" s="89"/>
      <c r="E198" s="89"/>
      <c r="F198" s="89"/>
      <c r="G198" s="89"/>
      <c r="H198" s="89"/>
      <c r="I198" s="89"/>
    </row>
    <row r="199" spans="3:9" ht="12.75">
      <c r="C199" s="89"/>
      <c r="D199" s="89"/>
      <c r="E199" s="89"/>
      <c r="F199" s="89"/>
      <c r="G199" s="89"/>
      <c r="H199" s="89"/>
      <c r="I199" s="89"/>
    </row>
    <row r="200" spans="3:9" ht="12.75">
      <c r="C200" s="89"/>
      <c r="D200" s="89"/>
      <c r="E200" s="89"/>
      <c r="F200" s="89"/>
      <c r="G200" s="89"/>
      <c r="H200" s="89"/>
      <c r="I200" s="89"/>
    </row>
    <row r="201" spans="3:9" ht="12.75">
      <c r="C201" s="89"/>
      <c r="D201" s="89"/>
      <c r="E201" s="89"/>
      <c r="F201" s="89"/>
      <c r="G201" s="89"/>
      <c r="H201" s="89"/>
      <c r="I201" s="89"/>
    </row>
    <row r="202" spans="3:9" ht="12.75">
      <c r="C202" s="89"/>
      <c r="D202" s="89"/>
      <c r="E202" s="89"/>
      <c r="F202" s="89"/>
      <c r="G202" s="89"/>
      <c r="H202" s="89"/>
      <c r="I202" s="89"/>
    </row>
    <row r="203" spans="3:9" ht="12.75">
      <c r="C203" s="89"/>
      <c r="D203" s="89"/>
      <c r="E203" s="89"/>
      <c r="F203" s="89"/>
      <c r="G203" s="89"/>
      <c r="H203" s="89"/>
      <c r="I203" s="89"/>
    </row>
    <row r="204" spans="3:9" ht="12.75">
      <c r="C204" s="89"/>
      <c r="D204" s="89"/>
      <c r="E204" s="89"/>
      <c r="F204" s="89"/>
      <c r="G204" s="89"/>
      <c r="H204" s="89"/>
      <c r="I204" s="89"/>
    </row>
    <row r="205" spans="3:9" ht="12.75">
      <c r="C205" s="89"/>
      <c r="D205" s="89"/>
      <c r="E205" s="89"/>
      <c r="F205" s="89"/>
      <c r="G205" s="89"/>
      <c r="H205" s="89"/>
      <c r="I205" s="89"/>
    </row>
    <row r="206" spans="3:9" ht="12.75">
      <c r="C206" s="89"/>
      <c r="D206" s="89"/>
      <c r="E206" s="89"/>
      <c r="F206" s="89"/>
      <c r="G206" s="89"/>
      <c r="H206" s="89"/>
      <c r="I206" s="89"/>
    </row>
    <row r="207" spans="3:9" ht="12.75">
      <c r="C207" s="89"/>
      <c r="D207" s="89"/>
      <c r="E207" s="89"/>
      <c r="F207" s="89"/>
      <c r="G207" s="89"/>
      <c r="H207" s="89"/>
      <c r="I207" s="89"/>
    </row>
    <row r="208" spans="3:9" ht="12.75">
      <c r="C208" s="89"/>
      <c r="D208" s="89"/>
      <c r="E208" s="89"/>
      <c r="F208" s="89"/>
      <c r="G208" s="89"/>
      <c r="H208" s="89"/>
      <c r="I208" s="89"/>
    </row>
    <row r="209" spans="3:9" ht="12.75">
      <c r="C209" s="89"/>
      <c r="D209" s="89"/>
      <c r="E209" s="89"/>
      <c r="F209" s="89"/>
      <c r="G209" s="89"/>
      <c r="H209" s="89"/>
      <c r="I209" s="89"/>
    </row>
    <row r="210" spans="3:9" ht="12.75">
      <c r="C210" s="89"/>
      <c r="D210" s="89"/>
      <c r="E210" s="89"/>
      <c r="F210" s="89"/>
      <c r="G210" s="89"/>
      <c r="H210" s="89"/>
      <c r="I210" s="89"/>
    </row>
    <row r="211" spans="3:9" ht="12.75">
      <c r="C211" s="89"/>
      <c r="D211" s="89"/>
      <c r="E211" s="89"/>
      <c r="F211" s="89"/>
      <c r="G211" s="89"/>
      <c r="H211" s="89"/>
      <c r="I211" s="89"/>
    </row>
    <row r="212" spans="3:9" ht="12.75">
      <c r="C212" s="89"/>
      <c r="D212" s="89"/>
      <c r="E212" s="89"/>
      <c r="F212" s="89"/>
      <c r="G212" s="89"/>
      <c r="H212" s="89"/>
      <c r="I212" s="89"/>
    </row>
    <row r="213" spans="3:9" ht="12.75">
      <c r="C213" s="89"/>
      <c r="D213" s="89"/>
      <c r="E213" s="89"/>
      <c r="F213" s="89"/>
      <c r="G213" s="89"/>
      <c r="H213" s="89"/>
      <c r="I213" s="89"/>
    </row>
    <row r="214" spans="3:9" ht="12.75">
      <c r="C214" s="89"/>
      <c r="D214" s="89"/>
      <c r="E214" s="89"/>
      <c r="F214" s="89"/>
      <c r="G214" s="89"/>
      <c r="H214" s="89"/>
      <c r="I214" s="89"/>
    </row>
    <row r="215" spans="3:9" ht="12.75">
      <c r="C215" s="89"/>
      <c r="D215" s="89"/>
      <c r="E215" s="89"/>
      <c r="F215" s="89"/>
      <c r="G215" s="89"/>
      <c r="H215" s="89"/>
      <c r="I215" s="89"/>
    </row>
    <row r="216" spans="3:9" ht="12.75">
      <c r="C216" s="89"/>
      <c r="D216" s="89"/>
      <c r="E216" s="89"/>
      <c r="F216" s="89"/>
      <c r="G216" s="89"/>
      <c r="H216" s="89"/>
      <c r="I216" s="89"/>
    </row>
    <row r="217" spans="3:9" ht="12.75">
      <c r="C217" s="89"/>
      <c r="D217" s="89"/>
      <c r="E217" s="89"/>
      <c r="F217" s="89"/>
      <c r="G217" s="89"/>
      <c r="H217" s="89"/>
      <c r="I217" s="89"/>
    </row>
    <row r="218" spans="3:9" ht="12.75">
      <c r="C218" s="89"/>
      <c r="D218" s="89"/>
      <c r="E218" s="89"/>
      <c r="F218" s="89"/>
      <c r="G218" s="89"/>
      <c r="H218" s="89"/>
      <c r="I218" s="89"/>
    </row>
    <row r="219" spans="3:9" ht="12.75">
      <c r="C219" s="89"/>
      <c r="D219" s="89"/>
      <c r="E219" s="89"/>
      <c r="F219" s="89"/>
      <c r="G219" s="89"/>
      <c r="H219" s="89"/>
      <c r="I219" s="89"/>
    </row>
    <row r="220" spans="3:9" ht="12.75">
      <c r="C220" s="89"/>
      <c r="D220" s="89"/>
      <c r="E220" s="89"/>
      <c r="F220" s="89"/>
      <c r="G220" s="89"/>
      <c r="H220" s="89"/>
      <c r="I220" s="89"/>
    </row>
    <row r="221" spans="3:9" ht="12.75">
      <c r="C221" s="89"/>
      <c r="D221" s="89"/>
      <c r="E221" s="89"/>
      <c r="F221" s="89"/>
      <c r="G221" s="89"/>
      <c r="H221" s="89"/>
      <c r="I221" s="89"/>
    </row>
    <row r="222" spans="3:9" ht="12.75">
      <c r="C222" s="89"/>
      <c r="D222" s="89"/>
      <c r="E222" s="89"/>
      <c r="F222" s="89"/>
      <c r="G222" s="89"/>
      <c r="H222" s="89"/>
      <c r="I222" s="89"/>
    </row>
    <row r="223" spans="3:9" ht="12.75">
      <c r="C223" s="89"/>
      <c r="D223" s="89"/>
      <c r="E223" s="89"/>
      <c r="F223" s="89"/>
      <c r="G223" s="89"/>
      <c r="H223" s="89"/>
      <c r="I223" s="89"/>
    </row>
    <row r="224" spans="3:9" ht="12.75">
      <c r="C224" s="89"/>
      <c r="D224" s="89"/>
      <c r="E224" s="89"/>
      <c r="F224" s="89"/>
      <c r="G224" s="89"/>
      <c r="H224" s="89"/>
      <c r="I224" s="89"/>
    </row>
    <row r="225" spans="3:9" ht="12.75">
      <c r="C225" s="89"/>
      <c r="D225" s="89"/>
      <c r="E225" s="89"/>
      <c r="F225" s="89"/>
      <c r="G225" s="89"/>
      <c r="H225" s="89"/>
      <c r="I225" s="89"/>
    </row>
    <row r="226" spans="3:9" ht="12.75">
      <c r="C226" s="89"/>
      <c r="D226" s="89"/>
      <c r="E226" s="89"/>
      <c r="F226" s="89"/>
      <c r="G226" s="89"/>
      <c r="H226" s="89"/>
      <c r="I226" s="89"/>
    </row>
    <row r="227" spans="3:9" ht="12.75">
      <c r="C227" s="89"/>
      <c r="D227" s="89"/>
      <c r="E227" s="89"/>
      <c r="F227" s="89"/>
      <c r="G227" s="89"/>
      <c r="H227" s="89"/>
      <c r="I227" s="89"/>
    </row>
    <row r="228" spans="3:9" ht="12.75">
      <c r="C228" s="89"/>
      <c r="D228" s="89"/>
      <c r="E228" s="89"/>
      <c r="F228" s="89"/>
      <c r="G228" s="89"/>
      <c r="H228" s="89"/>
      <c r="I228" s="89"/>
    </row>
    <row r="229" spans="3:9" ht="12.75">
      <c r="C229" s="89"/>
      <c r="D229" s="89"/>
      <c r="E229" s="89"/>
      <c r="F229" s="89"/>
      <c r="G229" s="89"/>
      <c r="H229" s="89"/>
      <c r="I229" s="89"/>
    </row>
    <row r="230" spans="3:9" ht="12.75">
      <c r="C230" s="89"/>
      <c r="D230" s="89"/>
      <c r="E230" s="89"/>
      <c r="F230" s="89"/>
      <c r="G230" s="89"/>
      <c r="H230" s="89"/>
      <c r="I230" s="89"/>
    </row>
    <row r="231" spans="3:9" ht="12.75">
      <c r="C231" s="89"/>
      <c r="D231" s="89"/>
      <c r="E231" s="89"/>
      <c r="F231" s="89"/>
      <c r="G231" s="89"/>
      <c r="H231" s="89"/>
      <c r="I231" s="89"/>
    </row>
    <row r="232" spans="3:9" ht="12.75">
      <c r="C232" s="89"/>
      <c r="D232" s="89"/>
      <c r="E232" s="89"/>
      <c r="F232" s="89"/>
      <c r="G232" s="89"/>
      <c r="H232" s="89"/>
      <c r="I232" s="89"/>
    </row>
    <row r="233" spans="3:9" ht="12.75">
      <c r="C233" s="89"/>
      <c r="D233" s="89"/>
      <c r="E233" s="89"/>
      <c r="F233" s="89"/>
      <c r="G233" s="89"/>
      <c r="H233" s="89"/>
      <c r="I233" s="89"/>
    </row>
    <row r="234" spans="3:9" ht="12.75">
      <c r="C234" s="89"/>
      <c r="D234" s="89"/>
      <c r="E234" s="89"/>
      <c r="F234" s="89"/>
      <c r="G234" s="89"/>
      <c r="H234" s="89"/>
      <c r="I234" s="89"/>
    </row>
    <row r="235" spans="3:9" ht="12.75">
      <c r="C235" s="89"/>
      <c r="D235" s="89"/>
      <c r="E235" s="89"/>
      <c r="F235" s="89"/>
      <c r="G235" s="89"/>
      <c r="H235" s="89"/>
      <c r="I235" s="89"/>
    </row>
    <row r="236" spans="3:9" ht="12.75">
      <c r="C236" s="89"/>
      <c r="D236" s="89"/>
      <c r="E236" s="89"/>
      <c r="F236" s="89"/>
      <c r="G236" s="89"/>
      <c r="H236" s="89"/>
      <c r="I236" s="89"/>
    </row>
    <row r="237" spans="3:9" ht="12.75">
      <c r="C237" s="89"/>
      <c r="D237" s="89"/>
      <c r="E237" s="89"/>
      <c r="F237" s="89"/>
      <c r="G237" s="89"/>
      <c r="H237" s="89"/>
      <c r="I237" s="89"/>
    </row>
    <row r="238" spans="3:9" ht="12.75">
      <c r="C238" s="89"/>
      <c r="D238" s="89"/>
      <c r="E238" s="89"/>
      <c r="F238" s="89"/>
      <c r="G238" s="89"/>
      <c r="H238" s="89"/>
      <c r="I238" s="89"/>
    </row>
    <row r="239" spans="3:9" ht="12.75">
      <c r="C239" s="89"/>
      <c r="D239" s="89"/>
      <c r="E239" s="89"/>
      <c r="F239" s="89"/>
      <c r="G239" s="89"/>
      <c r="H239" s="89"/>
      <c r="I239" s="89"/>
    </row>
    <row r="240" spans="3:9" ht="12.75">
      <c r="C240" s="89"/>
      <c r="D240" s="89"/>
      <c r="E240" s="89"/>
      <c r="F240" s="89"/>
      <c r="G240" s="89"/>
      <c r="H240" s="89"/>
      <c r="I240" s="89"/>
    </row>
    <row r="241" spans="3:9" ht="12.75">
      <c r="C241" s="89"/>
      <c r="D241" s="89"/>
      <c r="E241" s="89"/>
      <c r="F241" s="89"/>
      <c r="G241" s="89"/>
      <c r="H241" s="89"/>
      <c r="I241" s="89"/>
    </row>
    <row r="242" spans="3:9" ht="12.75">
      <c r="C242" s="89"/>
      <c r="D242" s="89"/>
      <c r="E242" s="89"/>
      <c r="F242" s="89"/>
      <c r="G242" s="89"/>
      <c r="H242" s="89"/>
      <c r="I242" s="89"/>
    </row>
    <row r="243" spans="3:9" ht="12.75">
      <c r="C243" s="89"/>
      <c r="D243" s="89"/>
      <c r="E243" s="89"/>
      <c r="F243" s="89"/>
      <c r="G243" s="89"/>
      <c r="H243" s="89"/>
      <c r="I243" s="89"/>
    </row>
    <row r="244" spans="3:9" ht="12.75">
      <c r="C244" s="89"/>
      <c r="D244" s="89"/>
      <c r="E244" s="89"/>
      <c r="F244" s="89"/>
      <c r="G244" s="89"/>
      <c r="H244" s="89"/>
      <c r="I244" s="89"/>
    </row>
    <row r="245" spans="3:9" ht="12.75">
      <c r="C245" s="89"/>
      <c r="D245" s="89"/>
      <c r="E245" s="89"/>
      <c r="F245" s="89"/>
      <c r="G245" s="89"/>
      <c r="H245" s="89"/>
      <c r="I245" s="89"/>
    </row>
    <row r="246" spans="3:9" ht="12.75">
      <c r="C246" s="89"/>
      <c r="D246" s="89"/>
      <c r="E246" s="89"/>
      <c r="F246" s="89"/>
      <c r="G246" s="89"/>
      <c r="H246" s="89"/>
      <c r="I246" s="89"/>
    </row>
    <row r="247" spans="3:9" ht="12.75">
      <c r="C247" s="89"/>
      <c r="D247" s="89"/>
      <c r="E247" s="89"/>
      <c r="F247" s="89"/>
      <c r="G247" s="89"/>
      <c r="H247" s="89"/>
      <c r="I247" s="89"/>
    </row>
    <row r="248" spans="3:9" ht="12.75">
      <c r="C248" s="89"/>
      <c r="D248" s="89"/>
      <c r="E248" s="89"/>
      <c r="F248" s="89"/>
      <c r="G248" s="89"/>
      <c r="H248" s="89"/>
      <c r="I248" s="89"/>
    </row>
    <row r="249" spans="3:9" ht="12.75">
      <c r="C249" s="89"/>
      <c r="D249" s="89"/>
      <c r="E249" s="89"/>
      <c r="F249" s="89"/>
      <c r="G249" s="89"/>
      <c r="H249" s="89"/>
      <c r="I249" s="89"/>
    </row>
    <row r="250" spans="3:9" ht="12.75">
      <c r="C250" s="89"/>
      <c r="D250" s="89"/>
      <c r="E250" s="89"/>
      <c r="F250" s="89"/>
      <c r="G250" s="89"/>
      <c r="H250" s="89"/>
      <c r="I250" s="89"/>
    </row>
    <row r="251" spans="3:9" ht="12.75">
      <c r="C251" s="89"/>
      <c r="D251" s="89"/>
      <c r="E251" s="89"/>
      <c r="F251" s="89"/>
      <c r="G251" s="89"/>
      <c r="H251" s="89"/>
      <c r="I251" s="89"/>
    </row>
    <row r="252" spans="3:9" ht="12.75">
      <c r="C252" s="89"/>
      <c r="D252" s="89"/>
      <c r="E252" s="89"/>
      <c r="F252" s="89"/>
      <c r="G252" s="89"/>
      <c r="H252" s="89"/>
      <c r="I252" s="89"/>
    </row>
    <row r="253" spans="3:9" ht="12.75">
      <c r="C253" s="89"/>
      <c r="D253" s="89"/>
      <c r="E253" s="89"/>
      <c r="F253" s="89"/>
      <c r="G253" s="89"/>
      <c r="H253" s="89"/>
      <c r="I253" s="89"/>
    </row>
    <row r="254" spans="3:9" ht="12.75">
      <c r="C254" s="89"/>
      <c r="D254" s="89"/>
      <c r="E254" s="89"/>
      <c r="F254" s="89"/>
      <c r="G254" s="89"/>
      <c r="H254" s="89"/>
      <c r="I254" s="89"/>
    </row>
    <row r="255" spans="3:9" ht="12.75">
      <c r="C255" s="89"/>
      <c r="D255" s="89"/>
      <c r="E255" s="89"/>
      <c r="F255" s="89"/>
      <c r="G255" s="89"/>
      <c r="H255" s="89"/>
      <c r="I255" s="89"/>
    </row>
    <row r="256" spans="3:9" ht="12.75">
      <c r="C256" s="89"/>
      <c r="D256" s="89"/>
      <c r="E256" s="89"/>
      <c r="F256" s="89"/>
      <c r="G256" s="89"/>
      <c r="H256" s="89"/>
      <c r="I256" s="89"/>
    </row>
    <row r="257" spans="3:9" ht="12.75">
      <c r="C257" s="89"/>
      <c r="D257" s="89"/>
      <c r="E257" s="89"/>
      <c r="F257" s="89"/>
      <c r="G257" s="89"/>
      <c r="H257" s="89"/>
      <c r="I257" s="89"/>
    </row>
    <row r="258" spans="3:9" ht="12.75">
      <c r="C258" s="89"/>
      <c r="D258" s="89"/>
      <c r="E258" s="89"/>
      <c r="F258" s="89"/>
      <c r="G258" s="89"/>
      <c r="H258" s="89"/>
      <c r="I258" s="89"/>
    </row>
    <row r="259" spans="3:9" ht="12.75">
      <c r="C259" s="89"/>
      <c r="D259" s="89"/>
      <c r="E259" s="89"/>
      <c r="F259" s="89"/>
      <c r="G259" s="89"/>
      <c r="H259" s="89"/>
      <c r="I259" s="89"/>
    </row>
    <row r="260" spans="3:9" ht="12.75">
      <c r="C260" s="89"/>
      <c r="D260" s="89"/>
      <c r="E260" s="89"/>
      <c r="F260" s="89"/>
      <c r="G260" s="89"/>
      <c r="H260" s="89"/>
      <c r="I260" s="89"/>
    </row>
    <row r="261" spans="3:9" ht="12.75">
      <c r="C261" s="89"/>
      <c r="D261" s="89"/>
      <c r="E261" s="89"/>
      <c r="F261" s="89"/>
      <c r="G261" s="89"/>
      <c r="H261" s="89"/>
      <c r="I261" s="89"/>
    </row>
    <row r="262" spans="3:9" ht="12.75">
      <c r="C262" s="89"/>
      <c r="D262" s="89"/>
      <c r="E262" s="89"/>
      <c r="F262" s="89"/>
      <c r="G262" s="89"/>
      <c r="H262" s="89"/>
      <c r="I262" s="89"/>
    </row>
    <row r="263" spans="3:9" ht="12.75">
      <c r="C263" s="89"/>
      <c r="D263" s="89"/>
      <c r="E263" s="89"/>
      <c r="F263" s="89"/>
      <c r="G263" s="89"/>
      <c r="H263" s="89"/>
      <c r="I263" s="89"/>
    </row>
    <row r="264" spans="3:9" ht="12.75">
      <c r="C264" s="89"/>
      <c r="D264" s="89"/>
      <c r="E264" s="89"/>
      <c r="F264" s="89"/>
      <c r="G264" s="89"/>
      <c r="H264" s="89"/>
      <c r="I264" s="89"/>
    </row>
    <row r="265" spans="3:9" ht="12.75">
      <c r="C265" s="89"/>
      <c r="D265" s="89"/>
      <c r="E265" s="89"/>
      <c r="F265" s="89"/>
      <c r="G265" s="89"/>
      <c r="H265" s="89"/>
      <c r="I265" s="89"/>
    </row>
    <row r="266" spans="3:9" ht="12.75">
      <c r="C266" s="89"/>
      <c r="D266" s="89"/>
      <c r="E266" s="89"/>
      <c r="F266" s="89"/>
      <c r="G266" s="89"/>
      <c r="H266" s="89"/>
      <c r="I266" s="89"/>
    </row>
    <row r="267" spans="3:9" ht="12.75">
      <c r="C267" s="89"/>
      <c r="D267" s="89"/>
      <c r="E267" s="89"/>
      <c r="F267" s="89"/>
      <c r="G267" s="89"/>
      <c r="H267" s="89"/>
      <c r="I267" s="89"/>
    </row>
    <row r="268" spans="3:9" ht="12.75">
      <c r="C268" s="89"/>
      <c r="D268" s="89"/>
      <c r="E268" s="89"/>
      <c r="F268" s="89"/>
      <c r="G268" s="89"/>
      <c r="H268" s="89"/>
      <c r="I268" s="89"/>
    </row>
    <row r="269" spans="3:9" ht="12.75">
      <c r="C269" s="89"/>
      <c r="D269" s="89"/>
      <c r="E269" s="89"/>
      <c r="F269" s="89"/>
      <c r="G269" s="89"/>
      <c r="H269" s="89"/>
      <c r="I269" s="89"/>
    </row>
    <row r="270" spans="3:9" ht="12.75">
      <c r="C270" s="89"/>
      <c r="D270" s="89"/>
      <c r="E270" s="89"/>
      <c r="F270" s="89"/>
      <c r="G270" s="89"/>
      <c r="H270" s="89"/>
      <c r="I270" s="89"/>
    </row>
    <row r="271" spans="3:9" ht="12.75">
      <c r="C271" s="89"/>
      <c r="D271" s="89"/>
      <c r="E271" s="89"/>
      <c r="F271" s="89"/>
      <c r="G271" s="89"/>
      <c r="H271" s="89"/>
      <c r="I271" s="89"/>
    </row>
    <row r="272" spans="3:9" ht="12.75">
      <c r="C272" s="89"/>
      <c r="D272" s="89"/>
      <c r="E272" s="89"/>
      <c r="F272" s="89"/>
      <c r="G272" s="89"/>
      <c r="H272" s="89"/>
      <c r="I272" s="89"/>
    </row>
    <row r="273" spans="3:9" ht="12.75">
      <c r="C273" s="89"/>
      <c r="D273" s="89"/>
      <c r="E273" s="89"/>
      <c r="F273" s="89"/>
      <c r="G273" s="89"/>
      <c r="H273" s="89"/>
      <c r="I273" s="89"/>
    </row>
    <row r="274" spans="3:9" ht="12.75">
      <c r="C274" s="89"/>
      <c r="D274" s="89"/>
      <c r="E274" s="89"/>
      <c r="F274" s="89"/>
      <c r="G274" s="89"/>
      <c r="H274" s="89"/>
      <c r="I274" s="89"/>
    </row>
    <row r="275" spans="3:9" ht="12.75">
      <c r="C275" s="89"/>
      <c r="D275" s="89"/>
      <c r="E275" s="89"/>
      <c r="F275" s="89"/>
      <c r="G275" s="89"/>
      <c r="H275" s="89"/>
      <c r="I275" s="89"/>
    </row>
    <row r="276" spans="3:9" ht="12.75">
      <c r="C276" s="89"/>
      <c r="D276" s="89"/>
      <c r="E276" s="89"/>
      <c r="F276" s="89"/>
      <c r="G276" s="89"/>
      <c r="H276" s="89"/>
      <c r="I276" s="89"/>
    </row>
    <row r="277" spans="3:9" ht="12.75">
      <c r="C277" s="89"/>
      <c r="D277" s="89"/>
      <c r="E277" s="89"/>
      <c r="F277" s="89"/>
      <c r="G277" s="89"/>
      <c r="H277" s="89"/>
      <c r="I277" s="89"/>
    </row>
    <row r="278" spans="3:9" ht="12.75">
      <c r="C278" s="89"/>
      <c r="D278" s="89"/>
      <c r="E278" s="89"/>
      <c r="F278" s="89"/>
      <c r="G278" s="89"/>
      <c r="H278" s="89"/>
      <c r="I278" s="89"/>
    </row>
    <row r="279" spans="3:9" ht="12.75">
      <c r="C279" s="89"/>
      <c r="D279" s="89"/>
      <c r="E279" s="89"/>
      <c r="F279" s="89"/>
      <c r="G279" s="89"/>
      <c r="H279" s="89"/>
      <c r="I279" s="89"/>
    </row>
    <row r="280" spans="3:9" ht="12.75">
      <c r="C280" s="89"/>
      <c r="D280" s="89"/>
      <c r="E280" s="89"/>
      <c r="F280" s="89"/>
      <c r="G280" s="89"/>
      <c r="H280" s="89"/>
      <c r="I280" s="89"/>
    </row>
    <row r="281" spans="3:9" ht="12.75">
      <c r="C281" s="89"/>
      <c r="D281" s="89"/>
      <c r="E281" s="89"/>
      <c r="F281" s="89"/>
      <c r="G281" s="89"/>
      <c r="H281" s="89"/>
      <c r="I281" s="89"/>
    </row>
    <row r="282" spans="3:9" ht="12.75">
      <c r="C282" s="89"/>
      <c r="D282" s="89"/>
      <c r="E282" s="89"/>
      <c r="F282" s="89"/>
      <c r="G282" s="89"/>
      <c r="H282" s="89"/>
      <c r="I282" s="89"/>
    </row>
    <row r="283" spans="3:9" ht="12.75">
      <c r="C283" s="89"/>
      <c r="D283" s="89"/>
      <c r="E283" s="89"/>
      <c r="F283" s="89"/>
      <c r="G283" s="89"/>
      <c r="H283" s="89"/>
      <c r="I283" s="89"/>
    </row>
    <row r="284" spans="3:9" ht="12.75">
      <c r="C284" s="89"/>
      <c r="D284" s="89"/>
      <c r="E284" s="89"/>
      <c r="F284" s="89"/>
      <c r="G284" s="89"/>
      <c r="H284" s="89"/>
      <c r="I284" s="89"/>
    </row>
    <row r="285" spans="3:9" ht="12.75">
      <c r="C285" s="89"/>
      <c r="D285" s="89"/>
      <c r="E285" s="89"/>
      <c r="F285" s="89"/>
      <c r="G285" s="89"/>
      <c r="H285" s="89"/>
      <c r="I285" s="89"/>
    </row>
    <row r="286" spans="3:9" ht="12.75">
      <c r="C286" s="89"/>
      <c r="D286" s="89"/>
      <c r="E286" s="89"/>
      <c r="F286" s="89"/>
      <c r="G286" s="89"/>
      <c r="H286" s="89"/>
      <c r="I286" s="89"/>
    </row>
    <row r="287" spans="3:9" ht="12.75">
      <c r="C287" s="89"/>
      <c r="D287" s="89"/>
      <c r="E287" s="89"/>
      <c r="F287" s="89"/>
      <c r="G287" s="89"/>
      <c r="H287" s="89"/>
      <c r="I287" s="89"/>
    </row>
    <row r="288" spans="3:9" ht="12.75">
      <c r="C288" s="89"/>
      <c r="D288" s="89"/>
      <c r="E288" s="89"/>
      <c r="F288" s="89"/>
      <c r="G288" s="89"/>
      <c r="H288" s="89"/>
      <c r="I288" s="89"/>
    </row>
    <row r="289" spans="3:9" ht="12.75">
      <c r="C289" s="89"/>
      <c r="D289" s="89"/>
      <c r="E289" s="89"/>
      <c r="F289" s="89"/>
      <c r="G289" s="89"/>
      <c r="H289" s="89"/>
      <c r="I289" s="89"/>
    </row>
    <row r="290" spans="3:9" ht="12.75">
      <c r="C290" s="89"/>
      <c r="D290" s="89"/>
      <c r="E290" s="89"/>
      <c r="F290" s="89"/>
      <c r="G290" s="89"/>
      <c r="H290" s="89"/>
      <c r="I290" s="89"/>
    </row>
    <row r="291" spans="3:9" ht="12.75">
      <c r="C291" s="89"/>
      <c r="D291" s="89"/>
      <c r="E291" s="89"/>
      <c r="F291" s="89"/>
      <c r="G291" s="89"/>
      <c r="H291" s="89"/>
      <c r="I291" s="89"/>
    </row>
    <row r="292" spans="3:9" ht="12.75">
      <c r="C292" s="89"/>
      <c r="D292" s="89"/>
      <c r="E292" s="89"/>
      <c r="F292" s="89"/>
      <c r="G292" s="89"/>
      <c r="H292" s="89"/>
      <c r="I292" s="89"/>
    </row>
    <row r="293" spans="3:9" ht="12.75">
      <c r="C293" s="89"/>
      <c r="D293" s="89"/>
      <c r="E293" s="89"/>
      <c r="F293" s="89"/>
      <c r="G293" s="89"/>
      <c r="H293" s="89"/>
      <c r="I293" s="89"/>
    </row>
    <row r="294" spans="3:9" ht="12.75">
      <c r="C294" s="89"/>
      <c r="D294" s="89"/>
      <c r="E294" s="89"/>
      <c r="F294" s="89"/>
      <c r="G294" s="89"/>
      <c r="H294" s="89"/>
      <c r="I294" s="89"/>
    </row>
    <row r="295" spans="3:9" ht="12.75">
      <c r="C295" s="89"/>
      <c r="D295" s="89"/>
      <c r="E295" s="89"/>
      <c r="F295" s="89"/>
      <c r="G295" s="89"/>
      <c r="H295" s="89"/>
      <c r="I295" s="89"/>
    </row>
    <row r="296" spans="3:9" ht="12.75">
      <c r="C296" s="89"/>
      <c r="D296" s="89"/>
      <c r="E296" s="89"/>
      <c r="F296" s="89"/>
      <c r="G296" s="89"/>
      <c r="H296" s="89"/>
      <c r="I296" s="89"/>
    </row>
    <row r="297" spans="3:9" ht="12.75">
      <c r="C297" s="89"/>
      <c r="D297" s="89"/>
      <c r="E297" s="89"/>
      <c r="F297" s="89"/>
      <c r="G297" s="89"/>
      <c r="H297" s="89"/>
      <c r="I297" s="89"/>
    </row>
    <row r="298" spans="3:9" ht="12.75">
      <c r="C298" s="89"/>
      <c r="D298" s="89"/>
      <c r="E298" s="89"/>
      <c r="F298" s="89"/>
      <c r="G298" s="89"/>
      <c r="H298" s="89"/>
      <c r="I298" s="89"/>
    </row>
    <row r="299" spans="3:9" ht="12.75">
      <c r="C299" s="89"/>
      <c r="D299" s="89"/>
      <c r="E299" s="89"/>
      <c r="F299" s="89"/>
      <c r="G299" s="89"/>
      <c r="H299" s="89"/>
      <c r="I299" s="89"/>
    </row>
    <row r="300" spans="3:9" ht="12.75">
      <c r="C300" s="89"/>
      <c r="D300" s="89"/>
      <c r="E300" s="89"/>
      <c r="F300" s="89"/>
      <c r="G300" s="89"/>
      <c r="H300" s="89"/>
      <c r="I300" s="89"/>
    </row>
    <row r="301" spans="3:9" ht="12.75">
      <c r="C301" s="89"/>
      <c r="D301" s="89"/>
      <c r="E301" s="89"/>
      <c r="F301" s="89"/>
      <c r="G301" s="89"/>
      <c r="H301" s="89"/>
      <c r="I301" s="89"/>
    </row>
    <row r="302" spans="3:9" ht="12.75">
      <c r="C302" s="89"/>
      <c r="D302" s="89"/>
      <c r="E302" s="89"/>
      <c r="F302" s="89"/>
      <c r="G302" s="89"/>
      <c r="H302" s="89"/>
      <c r="I302" s="89"/>
    </row>
    <row r="303" spans="3:9" ht="12.75">
      <c r="C303" s="89"/>
      <c r="D303" s="89"/>
      <c r="E303" s="89"/>
      <c r="F303" s="89"/>
      <c r="G303" s="89"/>
      <c r="H303" s="89"/>
      <c r="I303" s="89"/>
    </row>
    <row r="304" spans="3:9" ht="12.75">
      <c r="C304" s="89"/>
      <c r="D304" s="89"/>
      <c r="E304" s="89"/>
      <c r="F304" s="89"/>
      <c r="G304" s="89"/>
      <c r="H304" s="89"/>
      <c r="I304" s="89"/>
    </row>
    <row r="305" spans="3:9" ht="12.75">
      <c r="C305" s="89"/>
      <c r="D305" s="89"/>
      <c r="E305" s="89"/>
      <c r="F305" s="89"/>
      <c r="G305" s="89"/>
      <c r="H305" s="89"/>
      <c r="I305" s="89"/>
    </row>
    <row r="306" spans="3:9" ht="12.75">
      <c r="C306" s="89"/>
      <c r="D306" s="89"/>
      <c r="E306" s="89"/>
      <c r="F306" s="89"/>
      <c r="G306" s="89"/>
      <c r="H306" s="89"/>
      <c r="I306" s="89"/>
    </row>
    <row r="307" spans="3:9" ht="12.75">
      <c r="C307" s="89"/>
      <c r="D307" s="89"/>
      <c r="E307" s="89"/>
      <c r="F307" s="89"/>
      <c r="G307" s="89"/>
      <c r="H307" s="89"/>
      <c r="I307" s="89"/>
    </row>
    <row r="308" spans="3:9" ht="12.75">
      <c r="C308" s="89"/>
      <c r="D308" s="89"/>
      <c r="E308" s="89"/>
      <c r="F308" s="89"/>
      <c r="G308" s="89"/>
      <c r="H308" s="89"/>
      <c r="I308" s="89"/>
    </row>
    <row r="309" spans="3:9" ht="12.75">
      <c r="C309" s="89"/>
      <c r="D309" s="89"/>
      <c r="E309" s="89"/>
      <c r="F309" s="89"/>
      <c r="G309" s="89"/>
      <c r="H309" s="89"/>
      <c r="I309" s="89"/>
    </row>
    <row r="310" spans="3:9" ht="12.75">
      <c r="C310" s="89"/>
      <c r="D310" s="89"/>
      <c r="E310" s="89"/>
      <c r="F310" s="89"/>
      <c r="G310" s="89"/>
      <c r="H310" s="89"/>
      <c r="I310" s="89"/>
    </row>
    <row r="311" spans="3:9" ht="12.75">
      <c r="C311" s="89"/>
      <c r="D311" s="89"/>
      <c r="E311" s="89"/>
      <c r="F311" s="89"/>
      <c r="G311" s="89"/>
      <c r="H311" s="89"/>
      <c r="I311" s="89"/>
    </row>
    <row r="312" spans="3:9" ht="12.75">
      <c r="C312" s="89"/>
      <c r="D312" s="89"/>
      <c r="E312" s="89"/>
      <c r="F312" s="89"/>
      <c r="G312" s="89"/>
      <c r="H312" s="89"/>
      <c r="I312" s="89"/>
    </row>
    <row r="313" spans="3:9" ht="12.75">
      <c r="C313" s="89"/>
      <c r="D313" s="89"/>
      <c r="E313" s="89"/>
      <c r="F313" s="89"/>
      <c r="G313" s="89"/>
      <c r="H313" s="89"/>
      <c r="I313" s="89"/>
    </row>
    <row r="314" spans="3:9" ht="12.75">
      <c r="C314" s="89"/>
      <c r="D314" s="89"/>
      <c r="E314" s="89"/>
      <c r="F314" s="89"/>
      <c r="G314" s="89"/>
      <c r="H314" s="89"/>
      <c r="I314" s="89"/>
    </row>
    <row r="315" spans="3:9" ht="12.75">
      <c r="C315" s="89"/>
      <c r="D315" s="89"/>
      <c r="E315" s="89"/>
      <c r="F315" s="89"/>
      <c r="G315" s="89"/>
      <c r="H315" s="89"/>
      <c r="I315" s="89"/>
    </row>
    <row r="316" spans="3:9" ht="12.75">
      <c r="C316" s="89"/>
      <c r="D316" s="89"/>
      <c r="E316" s="89"/>
      <c r="F316" s="89"/>
      <c r="G316" s="89"/>
      <c r="H316" s="89"/>
      <c r="I316" s="89"/>
    </row>
    <row r="317" spans="3:9" ht="12.75">
      <c r="C317" s="89"/>
      <c r="D317" s="89"/>
      <c r="E317" s="89"/>
      <c r="F317" s="89"/>
      <c r="G317" s="89"/>
      <c r="H317" s="89"/>
      <c r="I317" s="89"/>
    </row>
    <row r="318" spans="3:9" ht="12.75">
      <c r="C318" s="89"/>
      <c r="D318" s="89"/>
      <c r="E318" s="89"/>
      <c r="F318" s="89"/>
      <c r="G318" s="89"/>
      <c r="H318" s="89"/>
      <c r="I318" s="89"/>
    </row>
    <row r="319" spans="3:9" ht="12.75">
      <c r="C319" s="89"/>
      <c r="D319" s="89"/>
      <c r="E319" s="89"/>
      <c r="F319" s="89"/>
      <c r="G319" s="89"/>
      <c r="H319" s="89"/>
      <c r="I319" s="89"/>
    </row>
    <row r="320" spans="3:9" ht="12.75">
      <c r="C320" s="89"/>
      <c r="D320" s="89"/>
      <c r="E320" s="89"/>
      <c r="F320" s="89"/>
      <c r="G320" s="89"/>
      <c r="H320" s="89"/>
      <c r="I320" s="89"/>
    </row>
    <row r="321" spans="3:9" ht="12.75">
      <c r="C321" s="89"/>
      <c r="D321" s="89"/>
      <c r="E321" s="89"/>
      <c r="F321" s="89"/>
      <c r="G321" s="89"/>
      <c r="H321" s="89"/>
      <c r="I321" s="89"/>
    </row>
    <row r="322" spans="3:9" ht="12.75">
      <c r="C322" s="89"/>
      <c r="D322" s="89"/>
      <c r="E322" s="89"/>
      <c r="F322" s="89"/>
      <c r="G322" s="89"/>
      <c r="H322" s="89"/>
      <c r="I322" s="89"/>
    </row>
    <row r="323" spans="3:9" ht="12.75">
      <c r="C323" s="89"/>
      <c r="D323" s="89"/>
      <c r="E323" s="89"/>
      <c r="F323" s="89"/>
      <c r="G323" s="89"/>
      <c r="H323" s="89"/>
      <c r="I323" s="89"/>
    </row>
    <row r="324" spans="3:9" ht="12.75">
      <c r="C324" s="89"/>
      <c r="D324" s="89"/>
      <c r="E324" s="89"/>
      <c r="F324" s="89"/>
      <c r="G324" s="89"/>
      <c r="H324" s="89"/>
      <c r="I324" s="89"/>
    </row>
    <row r="325" spans="3:9" ht="12.75">
      <c r="C325" s="89"/>
      <c r="D325" s="89"/>
      <c r="E325" s="89"/>
      <c r="F325" s="89"/>
      <c r="G325" s="89"/>
      <c r="H325" s="89"/>
      <c r="I325" s="89"/>
    </row>
    <row r="326" spans="3:9" ht="12.75">
      <c r="C326" s="89"/>
      <c r="D326" s="89"/>
      <c r="E326" s="89"/>
      <c r="F326" s="89"/>
      <c r="G326" s="89"/>
      <c r="H326" s="89"/>
      <c r="I326" s="89"/>
    </row>
    <row r="327" spans="3:9" ht="12.75">
      <c r="C327" s="89"/>
      <c r="D327" s="89"/>
      <c r="E327" s="89"/>
      <c r="F327" s="89"/>
      <c r="G327" s="89"/>
      <c r="H327" s="89"/>
      <c r="I327" s="89"/>
    </row>
    <row r="328" spans="3:9" ht="12.75">
      <c r="C328" s="89"/>
      <c r="D328" s="89"/>
      <c r="E328" s="89"/>
      <c r="F328" s="89"/>
      <c r="G328" s="89"/>
      <c r="H328" s="89"/>
      <c r="I328" s="89"/>
    </row>
    <row r="329" spans="3:9" ht="12.75">
      <c r="C329" s="89"/>
      <c r="D329" s="89"/>
      <c r="E329" s="89"/>
      <c r="F329" s="89"/>
      <c r="G329" s="89"/>
      <c r="H329" s="89"/>
      <c r="I329" s="89"/>
    </row>
    <row r="330" spans="3:9" ht="12.75">
      <c r="C330" s="89"/>
      <c r="D330" s="89"/>
      <c r="E330" s="89"/>
      <c r="F330" s="89"/>
      <c r="G330" s="89"/>
      <c r="H330" s="89"/>
      <c r="I330" s="89"/>
    </row>
    <row r="331" spans="3:9" ht="12.75">
      <c r="C331" s="89"/>
      <c r="D331" s="89"/>
      <c r="E331" s="89"/>
      <c r="F331" s="89"/>
      <c r="G331" s="89"/>
      <c r="H331" s="89"/>
      <c r="I331" s="89"/>
    </row>
    <row r="332" spans="3:9" ht="12.75">
      <c r="C332" s="89"/>
      <c r="D332" s="89"/>
      <c r="E332" s="89"/>
      <c r="F332" s="89"/>
      <c r="G332" s="89"/>
      <c r="H332" s="89"/>
      <c r="I332" s="89"/>
    </row>
    <row r="333" spans="3:9" ht="12.75">
      <c r="C333" s="89"/>
      <c r="D333" s="89"/>
      <c r="E333" s="89"/>
      <c r="F333" s="89"/>
      <c r="G333" s="89"/>
      <c r="H333" s="89"/>
      <c r="I333" s="89"/>
    </row>
    <row r="334" spans="3:9" ht="12.75">
      <c r="C334" s="89"/>
      <c r="D334" s="89"/>
      <c r="E334" s="89"/>
      <c r="F334" s="89"/>
      <c r="G334" s="89"/>
      <c r="H334" s="89"/>
      <c r="I334" s="89"/>
    </row>
    <row r="335" spans="3:9" ht="12.75">
      <c r="C335" s="89"/>
      <c r="D335" s="89"/>
      <c r="E335" s="89"/>
      <c r="F335" s="89"/>
      <c r="G335" s="89"/>
      <c r="H335" s="89"/>
      <c r="I335" s="89"/>
    </row>
    <row r="336" spans="3:9" ht="12.75">
      <c r="C336" s="89"/>
      <c r="D336" s="89"/>
      <c r="E336" s="89"/>
      <c r="F336" s="89"/>
      <c r="G336" s="89"/>
      <c r="H336" s="89"/>
      <c r="I336" s="89"/>
    </row>
    <row r="337" spans="3:9" ht="12.75">
      <c r="C337" s="89"/>
      <c r="D337" s="89"/>
      <c r="E337" s="89"/>
      <c r="F337" s="89"/>
      <c r="G337" s="89"/>
      <c r="H337" s="89"/>
      <c r="I337" s="89"/>
    </row>
    <row r="338" spans="3:9" ht="12.75">
      <c r="C338" s="89"/>
      <c r="D338" s="89"/>
      <c r="E338" s="89"/>
      <c r="F338" s="89"/>
      <c r="G338" s="89"/>
      <c r="H338" s="89"/>
      <c r="I338" s="89"/>
    </row>
    <row r="339" spans="3:9" ht="12.75">
      <c r="C339" s="89"/>
      <c r="D339" s="89"/>
      <c r="E339" s="89"/>
      <c r="F339" s="89"/>
      <c r="G339" s="89"/>
      <c r="H339" s="89"/>
      <c r="I339" s="89"/>
    </row>
    <row r="340" spans="3:9" ht="12.75">
      <c r="C340" s="89"/>
      <c r="D340" s="89"/>
      <c r="E340" s="89"/>
      <c r="F340" s="89"/>
      <c r="G340" s="89"/>
      <c r="H340" s="89"/>
      <c r="I340" s="89"/>
    </row>
    <row r="341" spans="3:9" ht="12.75">
      <c r="C341" s="89"/>
      <c r="D341" s="89"/>
      <c r="E341" s="89"/>
      <c r="F341" s="89"/>
      <c r="G341" s="89"/>
      <c r="H341" s="89"/>
      <c r="I341" s="89"/>
    </row>
    <row r="342" spans="3:9" ht="12.75">
      <c r="C342" s="89"/>
      <c r="D342" s="89"/>
      <c r="E342" s="89"/>
      <c r="F342" s="89"/>
      <c r="G342" s="89"/>
      <c r="H342" s="89"/>
      <c r="I342" s="89"/>
    </row>
    <row r="343" spans="3:9" ht="12.75">
      <c r="C343" s="89"/>
      <c r="D343" s="89"/>
      <c r="E343" s="89"/>
      <c r="F343" s="89"/>
      <c r="G343" s="89"/>
      <c r="H343" s="89"/>
      <c r="I343" s="89"/>
    </row>
    <row r="344" spans="3:9" ht="12.75">
      <c r="C344" s="89"/>
      <c r="D344" s="89"/>
      <c r="E344" s="89"/>
      <c r="F344" s="89"/>
      <c r="G344" s="89"/>
      <c r="H344" s="89"/>
      <c r="I344" s="89"/>
    </row>
    <row r="345" spans="3:9" ht="12.75">
      <c r="C345" s="89"/>
      <c r="D345" s="89"/>
      <c r="E345" s="89"/>
      <c r="F345" s="89"/>
      <c r="G345" s="89"/>
      <c r="H345" s="89"/>
      <c r="I345" s="89"/>
    </row>
    <row r="346" spans="3:9" ht="12.75">
      <c r="C346" s="89"/>
      <c r="D346" s="89"/>
      <c r="E346" s="89"/>
      <c r="F346" s="89"/>
      <c r="G346" s="89"/>
      <c r="H346" s="89"/>
      <c r="I346" s="89"/>
    </row>
    <row r="347" spans="3:9" ht="12.75">
      <c r="C347" s="89"/>
      <c r="D347" s="89"/>
      <c r="E347" s="89"/>
      <c r="F347" s="89"/>
      <c r="G347" s="89"/>
      <c r="H347" s="89"/>
      <c r="I347" s="89"/>
    </row>
    <row r="348" spans="3:9" ht="12.75">
      <c r="C348" s="89"/>
      <c r="D348" s="89"/>
      <c r="E348" s="89"/>
      <c r="F348" s="89"/>
      <c r="G348" s="89"/>
      <c r="H348" s="89"/>
      <c r="I348" s="89"/>
    </row>
    <row r="349" spans="3:9" ht="12.75">
      <c r="C349" s="89"/>
      <c r="D349" s="89"/>
      <c r="E349" s="89"/>
      <c r="F349" s="89"/>
      <c r="G349" s="89"/>
      <c r="H349" s="89"/>
      <c r="I349" s="89"/>
    </row>
    <row r="350" spans="3:9" ht="12.75">
      <c r="C350" s="89"/>
      <c r="D350" s="89"/>
      <c r="E350" s="89"/>
      <c r="F350" s="89"/>
      <c r="G350" s="89"/>
      <c r="H350" s="89"/>
      <c r="I350" s="89"/>
    </row>
    <row r="351" spans="3:9" ht="12.75">
      <c r="C351" s="89"/>
      <c r="D351" s="89"/>
      <c r="E351" s="89"/>
      <c r="F351" s="89"/>
      <c r="G351" s="89"/>
      <c r="H351" s="89"/>
      <c r="I351" s="89"/>
    </row>
    <row r="352" spans="3:9" ht="12.75">
      <c r="C352" s="89"/>
      <c r="D352" s="89"/>
      <c r="E352" s="89"/>
      <c r="F352" s="89"/>
      <c r="G352" s="89"/>
      <c r="H352" s="89"/>
      <c r="I352" s="89"/>
    </row>
    <row r="353" spans="3:9" ht="12.75">
      <c r="C353" s="89"/>
      <c r="D353" s="89"/>
      <c r="E353" s="89"/>
      <c r="F353" s="89"/>
      <c r="G353" s="89"/>
      <c r="H353" s="89"/>
      <c r="I353" s="89"/>
    </row>
    <row r="354" spans="3:9" ht="12.75">
      <c r="C354" s="89"/>
      <c r="D354" s="89"/>
      <c r="E354" s="89"/>
      <c r="F354" s="89"/>
      <c r="G354" s="89"/>
      <c r="H354" s="89"/>
      <c r="I354" s="89"/>
    </row>
    <row r="355" spans="3:9" ht="12.75">
      <c r="C355" s="89"/>
      <c r="D355" s="89"/>
      <c r="E355" s="89"/>
      <c r="F355" s="89"/>
      <c r="G355" s="89"/>
      <c r="H355" s="89"/>
      <c r="I355" s="89"/>
    </row>
    <row r="356" spans="3:9" ht="12.75">
      <c r="C356" s="89"/>
      <c r="D356" s="89"/>
      <c r="E356" s="89"/>
      <c r="F356" s="89"/>
      <c r="G356" s="89"/>
      <c r="H356" s="89"/>
      <c r="I356" s="89"/>
    </row>
    <row r="357" spans="3:9" ht="12.75">
      <c r="C357" s="89"/>
      <c r="D357" s="89"/>
      <c r="E357" s="89"/>
      <c r="F357" s="89"/>
      <c r="G357" s="89"/>
      <c r="H357" s="89"/>
      <c r="I357" s="89"/>
    </row>
    <row r="358" spans="3:9" ht="12.75">
      <c r="C358" s="89"/>
      <c r="D358" s="89"/>
      <c r="E358" s="89"/>
      <c r="F358" s="89"/>
      <c r="G358" s="89"/>
      <c r="H358" s="89"/>
      <c r="I358" s="89"/>
    </row>
    <row r="359" spans="3:9" ht="12.75">
      <c r="C359" s="89"/>
      <c r="D359" s="89"/>
      <c r="E359" s="89"/>
      <c r="F359" s="89"/>
      <c r="G359" s="89"/>
      <c r="H359" s="89"/>
      <c r="I359" s="89"/>
    </row>
    <row r="360" spans="3:9" ht="12.75">
      <c r="C360" s="89"/>
      <c r="D360" s="89"/>
      <c r="E360" s="89"/>
      <c r="F360" s="89"/>
      <c r="G360" s="89"/>
      <c r="H360" s="89"/>
      <c r="I360" s="89"/>
    </row>
    <row r="361" spans="3:9" ht="12.75">
      <c r="C361" s="89"/>
      <c r="D361" s="89"/>
      <c r="E361" s="89"/>
      <c r="F361" s="89"/>
      <c r="G361" s="89"/>
      <c r="H361" s="89"/>
      <c r="I361" s="89"/>
    </row>
    <row r="362" spans="3:9" ht="12.75">
      <c r="C362" s="89"/>
      <c r="D362" s="89"/>
      <c r="E362" s="89"/>
      <c r="F362" s="89"/>
      <c r="G362" s="89"/>
      <c r="H362" s="89"/>
      <c r="I362" s="89"/>
    </row>
    <row r="363" spans="3:9" ht="12.75">
      <c r="C363" s="89"/>
      <c r="D363" s="89"/>
      <c r="E363" s="89"/>
      <c r="F363" s="89"/>
      <c r="G363" s="89"/>
      <c r="H363" s="89"/>
      <c r="I363" s="89"/>
    </row>
    <row r="364" spans="3:9" ht="12.75">
      <c r="C364" s="89"/>
      <c r="D364" s="89"/>
      <c r="E364" s="89"/>
      <c r="F364" s="89"/>
      <c r="G364" s="89"/>
      <c r="H364" s="89"/>
      <c r="I364" s="89"/>
    </row>
    <row r="365" spans="3:9" ht="12.75">
      <c r="C365" s="89"/>
      <c r="D365" s="89"/>
      <c r="E365" s="89"/>
      <c r="F365" s="89"/>
      <c r="G365" s="89"/>
      <c r="H365" s="89"/>
      <c r="I365" s="89"/>
    </row>
    <row r="366" spans="3:9" ht="12.75">
      <c r="C366" s="89"/>
      <c r="D366" s="89"/>
      <c r="E366" s="89"/>
      <c r="F366" s="89"/>
      <c r="G366" s="89"/>
      <c r="H366" s="89"/>
      <c r="I366" s="89"/>
    </row>
    <row r="367" spans="3:9" ht="12.75">
      <c r="C367" s="89"/>
      <c r="D367" s="89"/>
      <c r="E367" s="89"/>
      <c r="F367" s="89"/>
      <c r="G367" s="89"/>
      <c r="H367" s="89"/>
      <c r="I367" s="89"/>
    </row>
    <row r="368" spans="3:9" ht="12.75">
      <c r="C368" s="89"/>
      <c r="D368" s="89"/>
      <c r="E368" s="89"/>
      <c r="F368" s="89"/>
      <c r="G368" s="89"/>
      <c r="H368" s="89"/>
      <c r="I368" s="89"/>
    </row>
  </sheetData>
  <printOptions horizontalCentered="1"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63"/>
  <sheetViews>
    <sheetView workbookViewId="0" topLeftCell="A1">
      <pane xSplit="2" ySplit="10" topLeftCell="C11" activePane="bottomRight" state="frozen"/>
      <selection pane="topLeft" activeCell="I17" sqref="I17"/>
      <selection pane="topRight" activeCell="I17" sqref="I17"/>
      <selection pane="bottomLeft" activeCell="I17" sqref="I17"/>
      <selection pane="bottomRight" activeCell="C39" sqref="C39"/>
    </sheetView>
  </sheetViews>
  <sheetFormatPr defaultColWidth="9.33203125" defaultRowHeight="12.75"/>
  <cols>
    <col min="1" max="1" width="2" style="76" customWidth="1"/>
    <col min="2" max="2" width="45.83203125" style="76" customWidth="1"/>
    <col min="3" max="3" width="13.33203125" style="76" customWidth="1"/>
    <col min="4" max="4" width="2" style="76" customWidth="1"/>
    <col min="5" max="5" width="11.66015625" style="76" customWidth="1"/>
    <col min="6" max="16384" width="9.33203125" style="76" customWidth="1"/>
  </cols>
  <sheetData>
    <row r="1" ht="12.75">
      <c r="A1" s="74" t="s">
        <v>389</v>
      </c>
    </row>
    <row r="2" s="78" customFormat="1" ht="13.5">
      <c r="A2" s="77" t="s">
        <v>162</v>
      </c>
    </row>
    <row r="3" ht="12.75">
      <c r="A3" s="74"/>
    </row>
    <row r="4" ht="12.75">
      <c r="A4" s="74" t="s">
        <v>257</v>
      </c>
    </row>
    <row r="6" spans="3:5" ht="12.75">
      <c r="C6" s="80" t="s">
        <v>8</v>
      </c>
      <c r="E6" s="80" t="s">
        <v>9</v>
      </c>
    </row>
    <row r="7" spans="3:5" ht="12.75">
      <c r="C7" s="81" t="s">
        <v>258</v>
      </c>
      <c r="E7" s="81" t="s">
        <v>128</v>
      </c>
    </row>
    <row r="8" spans="3:5" ht="12.75">
      <c r="C8" s="81" t="s">
        <v>159</v>
      </c>
      <c r="E8" s="81" t="s">
        <v>159</v>
      </c>
    </row>
    <row r="9" spans="3:5" ht="12.75">
      <c r="C9" s="80" t="s">
        <v>140</v>
      </c>
      <c r="E9" s="80" t="s">
        <v>141</v>
      </c>
    </row>
    <row r="10" spans="3:5" ht="12.75">
      <c r="C10" s="80" t="s">
        <v>397</v>
      </c>
      <c r="E10" s="80" t="s">
        <v>397</v>
      </c>
    </row>
    <row r="11" spans="1:5" ht="12.75">
      <c r="A11" s="74" t="s">
        <v>11</v>
      </c>
      <c r="C11" s="80"/>
      <c r="E11" s="80"/>
    </row>
    <row r="12" ht="12.75">
      <c r="A12" s="74" t="s">
        <v>10</v>
      </c>
    </row>
    <row r="13" spans="2:5" ht="12.75">
      <c r="B13" s="76" t="s">
        <v>129</v>
      </c>
      <c r="C13" s="70">
        <v>4292.568169999999</v>
      </c>
      <c r="D13" s="70"/>
      <c r="E13" s="124">
        <v>4181.704360000001</v>
      </c>
    </row>
    <row r="14" spans="2:5" ht="12.75">
      <c r="B14" s="76" t="s">
        <v>361</v>
      </c>
      <c r="C14" s="70">
        <v>3100.00026</v>
      </c>
      <c r="D14" s="70"/>
      <c r="E14" s="70">
        <v>3100.00026</v>
      </c>
    </row>
    <row r="15" spans="2:5" ht="12.75">
      <c r="B15" s="76" t="s">
        <v>130</v>
      </c>
      <c r="C15" s="70">
        <v>-0.00035260799527168273</v>
      </c>
      <c r="D15" s="70"/>
      <c r="E15" s="70">
        <v>220.42164739200473</v>
      </c>
    </row>
    <row r="16" spans="2:5" ht="12.75">
      <c r="B16" s="76" t="s">
        <v>131</v>
      </c>
      <c r="C16" s="70">
        <v>1.3186</v>
      </c>
      <c r="D16" s="70"/>
      <c r="E16" s="70">
        <v>1.3186</v>
      </c>
    </row>
    <row r="17" spans="2:5" ht="12.75">
      <c r="B17" s="76" t="s">
        <v>132</v>
      </c>
      <c r="C17" s="70">
        <v>0</v>
      </c>
      <c r="D17" s="70"/>
      <c r="E17" s="70">
        <v>0</v>
      </c>
    </row>
    <row r="18" spans="1:5" ht="12.75">
      <c r="A18" s="74"/>
      <c r="C18" s="70"/>
      <c r="D18" s="70"/>
      <c r="E18" s="70"/>
    </row>
    <row r="19" spans="1:5" ht="12.75">
      <c r="A19" s="74" t="s">
        <v>133</v>
      </c>
      <c r="C19" s="70"/>
      <c r="D19" s="70"/>
      <c r="E19" s="70"/>
    </row>
    <row r="20" spans="2:5" ht="12.75">
      <c r="B20" s="76" t="s">
        <v>297</v>
      </c>
      <c r="C20" s="124">
        <v>5140.16302</v>
      </c>
      <c r="D20" s="70"/>
      <c r="E20" s="70">
        <v>4710.763639999999</v>
      </c>
    </row>
    <row r="21" spans="2:5" ht="12.75">
      <c r="B21" s="76" t="s">
        <v>134</v>
      </c>
      <c r="C21" s="70">
        <v>3003.0144</v>
      </c>
      <c r="D21" s="70"/>
      <c r="E21" s="124">
        <v>3338.76456</v>
      </c>
    </row>
    <row r="22" spans="2:5" ht="12.75">
      <c r="B22" s="76" t="s">
        <v>365</v>
      </c>
      <c r="C22" s="70">
        <v>11252.065799999998</v>
      </c>
      <c r="D22" s="70"/>
      <c r="E22" s="124">
        <v>11373.59027</v>
      </c>
    </row>
    <row r="23" spans="3:5" ht="12.75">
      <c r="C23" s="112">
        <v>19395.243219999997</v>
      </c>
      <c r="D23" s="70"/>
      <c r="E23" s="159">
        <v>19423.518470000003</v>
      </c>
    </row>
    <row r="24" spans="1:5" ht="13.5" thickBot="1">
      <c r="A24" s="74" t="s">
        <v>12</v>
      </c>
      <c r="C24" s="113">
        <v>26789.129897392</v>
      </c>
      <c r="D24" s="70"/>
      <c r="E24" s="113">
        <v>26926.963337392008</v>
      </c>
    </row>
    <row r="25" spans="3:5" ht="12.75">
      <c r="C25" s="132"/>
      <c r="D25" s="70"/>
      <c r="E25" s="168"/>
    </row>
    <row r="26" spans="1:5" ht="12.75">
      <c r="A26" s="74" t="s">
        <v>13</v>
      </c>
      <c r="C26" s="132"/>
      <c r="D26" s="70"/>
      <c r="E26" s="168"/>
    </row>
    <row r="27" spans="2:5" ht="12.75">
      <c r="B27" s="76" t="s">
        <v>138</v>
      </c>
      <c r="C27" s="70">
        <v>139329.6</v>
      </c>
      <c r="D27" s="70"/>
      <c r="E27" s="70">
        <v>139329.6</v>
      </c>
    </row>
    <row r="28" spans="2:5" ht="12.75">
      <c r="B28" s="76" t="s">
        <v>139</v>
      </c>
      <c r="C28" s="149">
        <v>-115866.011275608</v>
      </c>
      <c r="D28" s="70"/>
      <c r="E28" s="114">
        <v>-115611.14512260805</v>
      </c>
    </row>
    <row r="29" spans="1:5" ht="12.75">
      <c r="A29" s="74" t="s">
        <v>14</v>
      </c>
      <c r="C29" s="70">
        <v>23463.588724392</v>
      </c>
      <c r="D29" s="70"/>
      <c r="E29" s="70">
        <v>23718.454877391952</v>
      </c>
    </row>
    <row r="30" spans="2:5" ht="12.75">
      <c r="B30" s="76" t="s">
        <v>126</v>
      </c>
      <c r="C30" s="124">
        <v>562.3533829999997</v>
      </c>
      <c r="D30" s="70"/>
      <c r="E30" s="70">
        <v>566.1809699999998</v>
      </c>
    </row>
    <row r="31" spans="1:5" ht="12.75">
      <c r="A31" s="74" t="s">
        <v>15</v>
      </c>
      <c r="C31" s="112">
        <v>24025.942107392002</v>
      </c>
      <c r="D31" s="70"/>
      <c r="E31" s="112">
        <v>24284.635847391954</v>
      </c>
    </row>
    <row r="32" spans="3:5" ht="12.75">
      <c r="C32" s="132"/>
      <c r="D32" s="70"/>
      <c r="E32" s="132"/>
    </row>
    <row r="33" spans="1:5" ht="12.75">
      <c r="A33" s="74" t="s">
        <v>16</v>
      </c>
      <c r="C33" s="132"/>
      <c r="D33" s="70"/>
      <c r="E33" s="132"/>
    </row>
    <row r="34" spans="2:5" ht="12.75">
      <c r="B34" s="76" t="s">
        <v>17</v>
      </c>
      <c r="C34" s="132">
        <v>0</v>
      </c>
      <c r="D34" s="70"/>
      <c r="E34" s="132">
        <v>0</v>
      </c>
    </row>
    <row r="35" spans="2:5" ht="12.75">
      <c r="B35" s="76" t="s">
        <v>18</v>
      </c>
      <c r="C35" s="132">
        <v>0</v>
      </c>
      <c r="D35" s="70"/>
      <c r="E35" s="132">
        <v>0</v>
      </c>
    </row>
    <row r="36" spans="3:5" ht="12.75">
      <c r="C36" s="112"/>
      <c r="D36" s="70"/>
      <c r="E36" s="112"/>
    </row>
    <row r="37" spans="3:5" ht="12.75">
      <c r="C37" s="132"/>
      <c r="D37" s="70"/>
      <c r="E37" s="132"/>
    </row>
    <row r="38" spans="1:5" ht="12.75">
      <c r="A38" s="74" t="s">
        <v>135</v>
      </c>
      <c r="C38" s="70"/>
      <c r="D38" s="70"/>
      <c r="E38" s="70"/>
    </row>
    <row r="39" spans="2:5" ht="12.75">
      <c r="B39" s="76" t="s">
        <v>136</v>
      </c>
      <c r="C39" s="70">
        <v>2389.55477</v>
      </c>
      <c r="D39" s="70"/>
      <c r="E39" s="70">
        <v>2202.8612000000003</v>
      </c>
    </row>
    <row r="40" spans="2:5" ht="12.75">
      <c r="B40" s="76" t="s">
        <v>137</v>
      </c>
      <c r="C40" s="70">
        <v>0</v>
      </c>
      <c r="D40" s="70"/>
      <c r="E40" s="70">
        <v>65.99944</v>
      </c>
    </row>
    <row r="41" spans="2:5" ht="12.75">
      <c r="B41" s="76" t="s">
        <v>366</v>
      </c>
      <c r="C41" s="70">
        <v>373.12631</v>
      </c>
      <c r="D41" s="70"/>
      <c r="E41" s="70">
        <v>373.12631</v>
      </c>
    </row>
    <row r="42" spans="3:5" ht="12.75">
      <c r="C42" s="112">
        <v>2762.6810800000003</v>
      </c>
      <c r="D42" s="70"/>
      <c r="E42" s="112">
        <v>2641.9869500000004</v>
      </c>
    </row>
    <row r="43" spans="1:5" ht="12.75">
      <c r="A43" s="74" t="s">
        <v>19</v>
      </c>
      <c r="C43" s="70">
        <v>2762.6810800000003</v>
      </c>
      <c r="D43" s="70"/>
      <c r="E43" s="70">
        <v>2641.9869500000004</v>
      </c>
    </row>
    <row r="44" spans="1:5" ht="12.75">
      <c r="A44" s="74"/>
      <c r="C44" s="114"/>
      <c r="D44" s="70"/>
      <c r="E44" s="114"/>
    </row>
    <row r="45" spans="1:5" ht="13.5" thickBot="1">
      <c r="A45" s="74" t="s">
        <v>20</v>
      </c>
      <c r="C45" s="169">
        <v>26788.623187392004</v>
      </c>
      <c r="D45" s="70"/>
      <c r="E45" s="169">
        <v>26926.622797391952</v>
      </c>
    </row>
    <row r="46" spans="3:5" ht="12.75">
      <c r="C46" s="70"/>
      <c r="D46" s="70"/>
      <c r="E46" s="70"/>
    </row>
    <row r="47" ht="12.75">
      <c r="A47" s="76" t="s">
        <v>21</v>
      </c>
    </row>
    <row r="48" spans="1:5" ht="12.75">
      <c r="A48" s="76" t="s">
        <v>22</v>
      </c>
      <c r="C48" s="72">
        <v>0.08420173719149412</v>
      </c>
      <c r="E48" s="72">
        <v>0.08511635315608439</v>
      </c>
    </row>
    <row r="50" spans="1:5" ht="12.75">
      <c r="A50" s="74"/>
      <c r="C50" s="70"/>
      <c r="D50" s="70"/>
      <c r="E50" s="70"/>
    </row>
    <row r="51" spans="1:5" s="73" customFormat="1" ht="12.75">
      <c r="A51" s="88" t="s">
        <v>158</v>
      </c>
      <c r="C51" s="89"/>
      <c r="D51" s="89"/>
      <c r="E51" s="89"/>
    </row>
    <row r="52" spans="1:5" s="73" customFormat="1" ht="12.75">
      <c r="A52" s="88" t="s">
        <v>259</v>
      </c>
      <c r="C52" s="89"/>
      <c r="D52" s="89"/>
      <c r="E52" s="89"/>
    </row>
    <row r="53" spans="1:5" ht="12.75">
      <c r="A53" s="74"/>
      <c r="C53" s="70"/>
      <c r="D53" s="70"/>
      <c r="E53" s="70"/>
    </row>
    <row r="54" spans="3:5" ht="12.75">
      <c r="C54" s="70"/>
      <c r="D54" s="70"/>
      <c r="E54" s="70"/>
    </row>
    <row r="55" spans="3:5" ht="12.75">
      <c r="C55" s="70"/>
      <c r="D55" s="70"/>
      <c r="E55" s="70"/>
    </row>
    <row r="56" spans="3:5" ht="12.75">
      <c r="C56" s="70"/>
      <c r="D56" s="70"/>
      <c r="E56" s="70"/>
    </row>
    <row r="57" spans="3:5" ht="12.75">
      <c r="C57" s="70"/>
      <c r="D57" s="70"/>
      <c r="E57" s="70"/>
    </row>
    <row r="58" spans="3:5" ht="12.75">
      <c r="C58" s="70"/>
      <c r="D58" s="70"/>
      <c r="E58" s="70"/>
    </row>
    <row r="59" spans="3:5" ht="12.75">
      <c r="C59" s="70"/>
      <c r="D59" s="70"/>
      <c r="E59" s="70"/>
    </row>
    <row r="60" spans="3:5" ht="12.75">
      <c r="C60" s="70"/>
      <c r="D60" s="70"/>
      <c r="E60" s="70"/>
    </row>
    <row r="61" spans="3:5" ht="12.75">
      <c r="C61" s="70"/>
      <c r="D61" s="70"/>
      <c r="E61" s="70"/>
    </row>
    <row r="62" spans="3:5" ht="12.75">
      <c r="C62" s="70"/>
      <c r="D62" s="70"/>
      <c r="E62" s="70"/>
    </row>
    <row r="63" spans="3:5" ht="12.75">
      <c r="C63" s="70"/>
      <c r="D63" s="70"/>
      <c r="E63" s="70"/>
    </row>
  </sheetData>
  <printOptions horizontalCentered="1"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5"/>
  <sheetViews>
    <sheetView workbookViewId="0" topLeftCell="E1">
      <selection activeCell="E23" sqref="E23"/>
    </sheetView>
  </sheetViews>
  <sheetFormatPr defaultColWidth="9.33203125" defaultRowHeight="12.75"/>
  <cols>
    <col min="1" max="16384" width="8.16015625" style="0" customWidth="1"/>
  </cols>
  <sheetData>
    <row r="1" spans="2:14" ht="12.75">
      <c r="B1" t="s">
        <v>393</v>
      </c>
      <c r="C1" t="s">
        <v>394</v>
      </c>
      <c r="D1" t="s">
        <v>150</v>
      </c>
      <c r="E1" t="s">
        <v>59</v>
      </c>
      <c r="F1" t="s">
        <v>373</v>
      </c>
      <c r="G1" t="s">
        <v>376</v>
      </c>
      <c r="H1" t="s">
        <v>384</v>
      </c>
      <c r="I1" t="s">
        <v>151</v>
      </c>
      <c r="J1" t="s">
        <v>152</v>
      </c>
      <c r="K1" t="s">
        <v>363</v>
      </c>
      <c r="L1" t="s">
        <v>367</v>
      </c>
      <c r="M1" t="s">
        <v>368</v>
      </c>
      <c r="N1" t="s">
        <v>364</v>
      </c>
    </row>
    <row r="3" spans="1:14" ht="12.75">
      <c r="A3" t="s">
        <v>122</v>
      </c>
      <c r="B3">
        <v>0</v>
      </c>
      <c r="C3">
        <v>0</v>
      </c>
      <c r="D3">
        <v>2064</v>
      </c>
      <c r="E3">
        <v>138</v>
      </c>
      <c r="F3">
        <v>2091</v>
      </c>
      <c r="G3">
        <v>18</v>
      </c>
      <c r="H3">
        <v>0</v>
      </c>
      <c r="I3">
        <v>656</v>
      </c>
      <c r="J3">
        <v>105</v>
      </c>
      <c r="K3">
        <f>SUM(B3:J3)</f>
        <v>5072</v>
      </c>
      <c r="L3">
        <f>94+296+34</f>
        <v>424</v>
      </c>
      <c r="N3">
        <f>+K3-L3+M3</f>
        <v>4648</v>
      </c>
    </row>
    <row r="4" spans="1:14" ht="12.75">
      <c r="A4" t="s">
        <v>153</v>
      </c>
      <c r="B4">
        <v>0</v>
      </c>
      <c r="C4">
        <v>0</v>
      </c>
      <c r="D4">
        <v>-1769</v>
      </c>
      <c r="E4">
        <v>-130</v>
      </c>
      <c r="F4">
        <v>-1872</v>
      </c>
      <c r="G4">
        <v>-29</v>
      </c>
      <c r="H4">
        <v>0</v>
      </c>
      <c r="I4">
        <v>-542</v>
      </c>
      <c r="J4">
        <v>-34</v>
      </c>
      <c r="K4">
        <f>SUM(B4:J4)</f>
        <v>-4376</v>
      </c>
      <c r="M4">
        <f>+L3</f>
        <v>424</v>
      </c>
      <c r="N4" s="28">
        <f>+K4-L4+M4</f>
        <v>-3952</v>
      </c>
    </row>
    <row r="5" ht="12.75">
      <c r="N5">
        <f>+N3+N4</f>
        <v>696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1"/>
  <sheetViews>
    <sheetView workbookViewId="0" topLeftCell="A1">
      <selection activeCell="C21" sqref="C21"/>
    </sheetView>
  </sheetViews>
  <sheetFormatPr defaultColWidth="9.33203125" defaultRowHeight="12.75"/>
  <cols>
    <col min="1" max="1" width="3.83203125" style="0" customWidth="1"/>
    <col min="2" max="2" width="12.33203125" style="0" customWidth="1"/>
    <col min="3" max="3" width="11.33203125" style="2" customWidth="1"/>
    <col min="4" max="4" width="9.33203125" style="2" customWidth="1"/>
    <col min="5" max="5" width="10.33203125" style="2" customWidth="1"/>
  </cols>
  <sheetData>
    <row r="1" ht="12.75">
      <c r="A1" s="7" t="s">
        <v>154</v>
      </c>
    </row>
    <row r="2" ht="12.75">
      <c r="A2" s="7"/>
    </row>
    <row r="3" ht="12.75">
      <c r="A3" s="7" t="s">
        <v>155</v>
      </c>
    </row>
    <row r="4" ht="12.75">
      <c r="A4" s="7"/>
    </row>
    <row r="5" spans="1:5" s="20" customFormat="1" ht="12.75">
      <c r="A5" s="20" t="s">
        <v>175</v>
      </c>
      <c r="B5" s="20" t="s">
        <v>392</v>
      </c>
      <c r="C5" s="16" t="s">
        <v>156</v>
      </c>
      <c r="D5" s="16" t="s">
        <v>157</v>
      </c>
      <c r="E5" s="16" t="s">
        <v>399</v>
      </c>
    </row>
    <row r="7" spans="1:5" ht="12.75">
      <c r="A7">
        <v>1</v>
      </c>
      <c r="B7" t="s">
        <v>404</v>
      </c>
      <c r="C7" s="2">
        <v>154810</v>
      </c>
      <c r="D7" s="2">
        <v>0</v>
      </c>
      <c r="E7" s="2">
        <f>+C7+D7</f>
        <v>154810</v>
      </c>
    </row>
    <row r="8" spans="1:5" ht="12.75">
      <c r="A8">
        <v>2</v>
      </c>
      <c r="B8" t="s">
        <v>151</v>
      </c>
      <c r="C8" s="2">
        <f>1801774.36+352434.6</f>
        <v>2154208.96</v>
      </c>
      <c r="D8" s="2">
        <v>0</v>
      </c>
      <c r="E8" s="2">
        <f>+C8+D8</f>
        <v>2154208.96</v>
      </c>
    </row>
    <row r="9" spans="1:5" ht="12.75">
      <c r="A9">
        <v>3</v>
      </c>
      <c r="B9" t="s">
        <v>376</v>
      </c>
      <c r="C9" s="2">
        <v>98947.95</v>
      </c>
      <c r="D9" s="2">
        <v>0</v>
      </c>
      <c r="E9" s="2">
        <f>+C9+D9</f>
        <v>98947.95</v>
      </c>
    </row>
    <row r="10" spans="1:5" ht="12.75">
      <c r="A10">
        <v>4</v>
      </c>
      <c r="B10" t="s">
        <v>394</v>
      </c>
      <c r="C10" s="2">
        <v>14000</v>
      </c>
      <c r="D10" s="2">
        <v>0</v>
      </c>
      <c r="E10" s="2">
        <f>+C10+D10</f>
        <v>14000</v>
      </c>
    </row>
    <row r="11" spans="3:5" ht="13.5" thickBot="1">
      <c r="C11" s="3">
        <f>SUM(C7:C10)</f>
        <v>2421966.91</v>
      </c>
      <c r="D11" s="3">
        <f>SUM(D7:D10)</f>
        <v>0</v>
      </c>
      <c r="E11" s="3">
        <f>SUM(E7:E10)</f>
        <v>2421966.91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6"/>
  <sheetViews>
    <sheetView workbookViewId="0" topLeftCell="A1">
      <selection activeCell="C14" sqref="C14"/>
    </sheetView>
  </sheetViews>
  <sheetFormatPr defaultColWidth="9.33203125" defaultRowHeight="12.75"/>
  <cols>
    <col min="1" max="1" width="4.16015625" style="0" customWidth="1"/>
    <col min="2" max="2" width="42.33203125" style="0" customWidth="1"/>
    <col min="3" max="3" width="10.33203125" style="0" customWidth="1"/>
    <col min="5" max="5" width="18" style="0" customWidth="1"/>
  </cols>
  <sheetData>
    <row r="1" ht="12.75">
      <c r="A1" s="7" t="s">
        <v>398</v>
      </c>
    </row>
    <row r="2" ht="12.75">
      <c r="A2" s="7"/>
    </row>
    <row r="3" ht="12.75">
      <c r="A3" s="7" t="s">
        <v>174</v>
      </c>
    </row>
    <row r="5" spans="3:5" ht="12.75">
      <c r="C5" s="176" t="s">
        <v>138</v>
      </c>
      <c r="D5" s="176"/>
      <c r="E5" s="20" t="s">
        <v>179</v>
      </c>
    </row>
    <row r="6" spans="1:5" ht="12.75">
      <c r="A6" s="20" t="s">
        <v>175</v>
      </c>
      <c r="B6" s="20" t="s">
        <v>176</v>
      </c>
      <c r="C6" s="20" t="s">
        <v>177</v>
      </c>
      <c r="D6" s="20" t="s">
        <v>178</v>
      </c>
      <c r="E6" s="44" t="s">
        <v>180</v>
      </c>
    </row>
    <row r="8" spans="1:5" ht="12.75">
      <c r="A8" s="15">
        <v>1</v>
      </c>
      <c r="B8" t="s">
        <v>181</v>
      </c>
      <c r="C8" s="2">
        <v>5000000</v>
      </c>
      <c r="D8" s="2">
        <v>2</v>
      </c>
      <c r="E8" s="2">
        <v>95040</v>
      </c>
    </row>
    <row r="9" spans="1:5" ht="12.75">
      <c r="A9" s="15"/>
      <c r="C9" s="2"/>
      <c r="D9" s="2"/>
      <c r="E9" s="2"/>
    </row>
    <row r="10" spans="1:5" ht="12.75">
      <c r="A10" s="15">
        <v>2</v>
      </c>
      <c r="B10" t="s">
        <v>182</v>
      </c>
      <c r="C10" s="2">
        <v>5000000</v>
      </c>
      <c r="D10" s="2">
        <v>2</v>
      </c>
      <c r="E10" s="2">
        <v>0</v>
      </c>
    </row>
    <row r="11" spans="3:5" ht="12.75">
      <c r="C11" s="2"/>
      <c r="D11" s="2"/>
      <c r="E11" s="2"/>
    </row>
    <row r="12" spans="1:5" ht="12.75">
      <c r="A12" s="15">
        <v>3</v>
      </c>
      <c r="B12" t="s">
        <v>183</v>
      </c>
      <c r="C12" s="2">
        <v>25000</v>
      </c>
      <c r="D12" s="2">
        <v>2</v>
      </c>
      <c r="E12" s="2">
        <v>0</v>
      </c>
    </row>
    <row r="13" spans="1:5" ht="12.75">
      <c r="A13" s="15"/>
      <c r="C13" s="2"/>
      <c r="D13" s="2"/>
      <c r="E13" s="2"/>
    </row>
    <row r="14" spans="1:5" ht="12.75">
      <c r="A14" s="15">
        <v>4</v>
      </c>
      <c r="B14" t="s">
        <v>184</v>
      </c>
      <c r="C14" s="2">
        <v>25000</v>
      </c>
      <c r="D14" s="2">
        <v>2</v>
      </c>
      <c r="E14" s="2">
        <v>0</v>
      </c>
    </row>
    <row r="15" spans="1:5" ht="12.75">
      <c r="A15" s="15"/>
      <c r="C15" s="2"/>
      <c r="D15" s="2"/>
      <c r="E15" s="2"/>
    </row>
    <row r="16" spans="1:5" ht="12.75">
      <c r="A16" s="15">
        <v>5</v>
      </c>
      <c r="B16" t="s">
        <v>185</v>
      </c>
      <c r="C16" s="2">
        <v>25000</v>
      </c>
      <c r="D16" s="2">
        <v>2</v>
      </c>
      <c r="E16" s="2">
        <v>0</v>
      </c>
    </row>
  </sheetData>
  <mergeCells count="1">
    <mergeCell ref="C5:D5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Telecommunication S/B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Angeline</dc:creator>
  <cp:keywords/>
  <dc:description/>
  <cp:lastModifiedBy>User</cp:lastModifiedBy>
  <cp:lastPrinted>2006-11-27T03:57:18Z</cp:lastPrinted>
  <dcterms:created xsi:type="dcterms:W3CDTF">2002-02-20T03:27:58Z</dcterms:created>
  <dcterms:modified xsi:type="dcterms:W3CDTF">2006-11-28T08:51:23Z</dcterms:modified>
  <cp:category/>
  <cp:version/>
  <cp:contentType/>
  <cp:contentStatus/>
</cp:coreProperties>
</file>