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 Stmt" sheetId="1" r:id="rId1"/>
    <sheet name="Proforma Inc Stmt" sheetId="2" r:id="rId2"/>
    <sheet name="BSheet" sheetId="3" r:id="rId3"/>
    <sheet name="Chg In Eqty" sheetId="4" r:id="rId4"/>
    <sheet name="Cash Flow Stmt" sheetId="5" r:id="rId5"/>
    <sheet name="Segmental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<sst xmlns="http://schemas.openxmlformats.org/spreadsheetml/2006/main" count="254" uniqueCount="207">
  <si>
    <t>TALAM CORPORATION BERHAD (1120-H)</t>
  </si>
  <si>
    <t>Condensed Consolidated Income Statements</t>
  </si>
  <si>
    <t>For the quarter ended 31st January 2004</t>
  </si>
  <si>
    <t>2004</t>
  </si>
  <si>
    <t>2003</t>
  </si>
  <si>
    <t>Current Quarter</t>
  </si>
  <si>
    <t>Comparative quarter</t>
  </si>
  <si>
    <t>12 month</t>
  </si>
  <si>
    <t>Ended 31 January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</si>
  <si>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</si>
  <si>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</si>
  <si>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</si>
  <si>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</si>
  <si>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</si>
  <si>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</si>
  <si>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</si>
  <si>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</si>
  <si>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</si>
  <si>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</si>
  <si>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</si>
  <si>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</si>
  <si>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</si>
  <si>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Earnings Per Share - Basic </t>
  </si>
  <si>
    <t>Condensed Consolidated Balance Sheets</t>
  </si>
  <si>
    <t>As At 31st January 2004</t>
  </si>
  <si>
    <t>UNAUDITED</t>
  </si>
  <si>
    <t>AUDITED</t>
  </si>
  <si>
    <t>QUARTER</t>
  </si>
  <si>
    <t xml:space="preserve">AS AT </t>
  </si>
  <si>
    <t>AS AT</t>
  </si>
  <si>
    <t>PRECEDING</t>
  </si>
  <si>
    <t>FINANCIAL</t>
  </si>
  <si>
    <t>YEAR END</t>
  </si>
  <si>
    <t>31.1.2004</t>
  </si>
  <si>
    <t>31.01.2003</t>
  </si>
  <si>
    <t>RM000</t>
  </si>
  <si>
    <t>PROPERTY, PLANT AND EQUIPMENT</t>
  </si>
  <si>
    <t>LAND HELD FOR DEVELOPMENT</t>
  </si>
  <si>
    <t>INVESTMENT PROPERTIES</t>
  </si>
  <si>
    <t>SUBSIDIARIES</t>
  </si>
  <si>
    <t>ASSOCIATED COMPANIES</t>
  </si>
  <si>
    <t>-</t>
  </si>
  <si>
    <t xml:space="preserve">GOODWILL </t>
  </si>
  <si>
    <t>SINKING FUND HELD BY TRUSTEES</t>
  </si>
  <si>
    <t>LOANS AND FINANCING RECEIVABLES</t>
  </si>
  <si>
    <t>CURRENT ASSETS</t>
  </si>
  <si>
    <t>Development properties</t>
  </si>
  <si>
    <t>Inventories</t>
  </si>
  <si>
    <t>Debtors</t>
  </si>
  <si>
    <t>Cash and cash equivalents</t>
  </si>
  <si>
    <t>Total Current Assets</t>
  </si>
  <si>
    <t>CURRENT LIABILITIES</t>
  </si>
  <si>
    <t>Short term borrowings</t>
  </si>
  <si>
    <t>Trade creditors</t>
  </si>
  <si>
    <t>Land Vendor</t>
  </si>
  <si>
    <t>Deferred Progress Billing (Short Term Portion)</t>
  </si>
  <si>
    <t>Other creditor</t>
  </si>
  <si>
    <t>Dividend payable</t>
  </si>
  <si>
    <t>Total Current Liabilities</t>
  </si>
  <si>
    <t>NET CURRENT ASSETS</t>
  </si>
  <si>
    <t>NET ASSETS</t>
  </si>
  <si>
    <t>Represented by:</t>
  </si>
  <si>
    <t>ORDINARY SHARE CAPITAL</t>
  </si>
  <si>
    <t>IRREDEEMABLE CONVERTIBLE PREFERENCE SHARES</t>
  </si>
  <si>
    <t>LESS: TREASURY SHARES</t>
  </si>
  <si>
    <t>RESERVES</t>
  </si>
  <si>
    <t>SHAREHOLDERS' FUND</t>
  </si>
  <si>
    <t>MINORITY INTERESTS</t>
  </si>
  <si>
    <t>LONG TERM LIABILITIES</t>
  </si>
  <si>
    <t>Irredeemable Convertible Unsequered Loan Stock</t>
  </si>
  <si>
    <t>Borrowings</t>
  </si>
  <si>
    <t>Deferred Progress Billing (Long Term Portion)</t>
  </si>
  <si>
    <t>Other deferred liabilities</t>
  </si>
  <si>
    <t>TOTAL CAPITAL EMPLOYED</t>
  </si>
  <si>
    <t>Net tangible assets per share (RM) based on 548,746,880</t>
  </si>
  <si>
    <t xml:space="preserve">  ordinary shares </t>
  </si>
  <si>
    <t>Net tangible assets per share (RM) after netting off</t>
  </si>
  <si>
    <t xml:space="preserve">  212,000 Treasury Shares</t>
  </si>
  <si>
    <t>The Condensed Unaudited Consolidated Balance Sheet for year 31 January 2004 includes</t>
  </si>
  <si>
    <t>Europlus Berhad's and its subsidiaries pursuant to the implementation of the Merger on 3 November 2003</t>
  </si>
  <si>
    <t>the Annual Financial Report for the year ended 31st January 2003.</t>
  </si>
  <si>
    <t>RM '000</t>
  </si>
  <si>
    <t>9.</t>
  </si>
  <si>
    <t>Segmental Reporting - 31.1.2004</t>
  </si>
  <si>
    <t>a.</t>
  </si>
  <si>
    <t>Business segments</t>
  </si>
  <si>
    <t>Property Investment,</t>
  </si>
  <si>
    <t>Development &amp;</t>
  </si>
  <si>
    <t xml:space="preserve">Hotel &amp; </t>
  </si>
  <si>
    <t>Total before</t>
  </si>
  <si>
    <t>Constuction</t>
  </si>
  <si>
    <t>Leasing</t>
  </si>
  <si>
    <t>Manufacturing</t>
  </si>
  <si>
    <t>Trading</t>
  </si>
  <si>
    <t>Education</t>
  </si>
  <si>
    <t>recreation</t>
  </si>
  <si>
    <t>elimination</t>
  </si>
  <si>
    <t>Eliminations</t>
  </si>
  <si>
    <t>Consolidated</t>
  </si>
  <si>
    <t>RM ' 000</t>
  </si>
  <si>
    <t>REVENUE</t>
  </si>
  <si>
    <t>External sales</t>
  </si>
  <si>
    <t>Inter-segment sales</t>
  </si>
  <si>
    <t>Total revenue</t>
  </si>
  <si>
    <t>RESULT</t>
  </si>
  <si>
    <t>Profit Before Interest &amp; Tax</t>
  </si>
  <si>
    <t>Add: Interest Income</t>
  </si>
  <si>
    <t>Less: Interest Expense</t>
  </si>
  <si>
    <t xml:space="preserve">Segment result </t>
  </si>
  <si>
    <t>Operating profit/(Loss)</t>
  </si>
  <si>
    <t>Interest expenses</t>
  </si>
  <si>
    <t>Interest income</t>
  </si>
  <si>
    <t xml:space="preserve">Share of results from </t>
  </si>
  <si>
    <t xml:space="preserve">   associated companies</t>
  </si>
  <si>
    <t>Profit before taxation</t>
  </si>
  <si>
    <t>Income taxes</t>
  </si>
  <si>
    <t>Profit after taxation</t>
  </si>
  <si>
    <t>OTHER INFORMATION</t>
  </si>
  <si>
    <t>Capital expenditure</t>
  </si>
  <si>
    <t>Depreciation</t>
  </si>
  <si>
    <t>CONSOLIDATED BALANCE SHEET</t>
  </si>
  <si>
    <t xml:space="preserve">   ASSETS</t>
  </si>
  <si>
    <t>Segment assets</t>
  </si>
  <si>
    <t>Investment in equity</t>
  </si>
  <si>
    <t xml:space="preserve">   method associates</t>
  </si>
  <si>
    <t>Consolidated total assets</t>
  </si>
  <si>
    <t>LIABILITIES</t>
  </si>
  <si>
    <t>Segment liabilities</t>
  </si>
  <si>
    <t>b.</t>
  </si>
  <si>
    <t>Geographical segments</t>
  </si>
  <si>
    <t xml:space="preserve">Sales </t>
  </si>
  <si>
    <t>Segment</t>
  </si>
  <si>
    <t>Additions to Prop</t>
  </si>
  <si>
    <t>revenue</t>
  </si>
  <si>
    <t>Assets</t>
  </si>
  <si>
    <t>Plant &amp; Equipment</t>
  </si>
  <si>
    <t>Malaysia</t>
  </si>
  <si>
    <t>The People's Republic of China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</si>
  <si>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</si>
  <si>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</si>
  <si>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</si>
  <si>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</si>
  <si>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</si>
  <si>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</si>
  <si>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Note:-</t>
  </si>
  <si>
    <t xml:space="preserve">             Cash &amp; Cash Equivalent At End of Financial Period comprise of:-</t>
  </si>
  <si>
    <t xml:space="preserve">             Cash &amp; Bank</t>
  </si>
  <si>
    <t xml:space="preserve">             Deposits</t>
  </si>
  <si>
    <t xml:space="preserve">             Bank Overdraft</t>
  </si>
  <si>
    <t xml:space="preserve">             Less: Short-Term Deposit Restricted In Use </t>
  </si>
  <si>
    <t xml:space="preserve">The Condensed Consolidated Cash Flow Statement should be read in conjunction with </t>
  </si>
  <si>
    <t>Condensed Cash Flow Statement As At 31 January 2004</t>
  </si>
  <si>
    <t>** Includes only 3 month of Europlus Berhad Group results from November 2003 to January 2004.</t>
  </si>
  <si>
    <t xml:space="preserve">Earnings Per Share - Diluted </t>
  </si>
  <si>
    <t>Weighted Average Number of Ordinary Share ('000) For Diluted EPS</t>
  </si>
  <si>
    <t>Weighted Average Number of Ordinary Share ('000) For Basic EPS</t>
  </si>
  <si>
    <t xml:space="preserve">                                  **</t>
  </si>
  <si>
    <t>Annual Financial Report for the year ended 31st January 2003.</t>
  </si>
  <si>
    <t>The Condensed Consolidated Balance Sheet should be read in conjunction with Talam Corporation Bhd</t>
  </si>
  <si>
    <t>(II)</t>
  </si>
  <si>
    <t>(I)</t>
  </si>
  <si>
    <t>Notes:-</t>
  </si>
  <si>
    <t>Proforma Income Statement For The FYE 31 Jan 2004</t>
  </si>
  <si>
    <t>For illustration purpose only</t>
  </si>
  <si>
    <t xml:space="preserve"> </t>
  </si>
  <si>
    <t>Unaudited</t>
  </si>
  <si>
    <t>Proforma</t>
  </si>
  <si>
    <t>a + b</t>
  </si>
  <si>
    <t>Gross profit</t>
  </si>
  <si>
    <t xml:space="preserve">Taxation </t>
  </si>
  <si>
    <t>Minority interests</t>
  </si>
  <si>
    <t>Profit after taxation and minority interest</t>
  </si>
  <si>
    <t>Note :</t>
  </si>
  <si>
    <t>The Proforma Income Statement was the addition of :</t>
  </si>
  <si>
    <t>a)  Talam Corporation Berhad</t>
  </si>
  <si>
    <t>12 months unaudited consolidated results of Talam Corporation Berhad (without Europlus Berhad Group ) for the financial year ended 31 January 2004.</t>
  </si>
  <si>
    <t>b)  Europlus Berhad</t>
  </si>
  <si>
    <t>I)    2 months unaudited consolidated results of Europlus Berhad  (1 February 2003 to 31 March 2003).</t>
  </si>
  <si>
    <t>II) 10 months unaudited consolidated results of Europlus Berhad  ( 1 April 2003 to 31 January 2004).</t>
  </si>
  <si>
    <t>The Proforma Income Statement is to illustrate the results of the enlarged Talam Group assuming that the merger exercise was completed on 31 January 2003.</t>
  </si>
  <si>
    <t xml:space="preserve">The Condensed Consolidated Statement of Changes In Equity should be read in conjunction with </t>
  </si>
  <si>
    <t>Balance at end of period</t>
  </si>
  <si>
    <t>Less: Proposed Dividend (4% net of tax of 28%)</t>
  </si>
  <si>
    <t>Foreign exchange differences</t>
  </si>
  <si>
    <t>Acquisition of treasury shares</t>
  </si>
  <si>
    <t xml:space="preserve">Ordinary shares issued </t>
  </si>
  <si>
    <t>Balance at beginning of year</t>
  </si>
  <si>
    <t>12 months quarter ended 31 January 2003</t>
  </si>
  <si>
    <t>Less: Transfer to Capital Reserves</t>
  </si>
  <si>
    <t xml:space="preserve">          via cancellation of share premium</t>
  </si>
  <si>
    <t>Less: Distribution of 6 non-property companies to Kumpulan Europlus Berhad</t>
  </si>
  <si>
    <t>Disposal of treasury shares</t>
  </si>
  <si>
    <t>Conversion of Preference Shares</t>
  </si>
  <si>
    <t xml:space="preserve">Preference shares issued </t>
  </si>
  <si>
    <t>Total</t>
  </si>
  <si>
    <t>Profits</t>
  </si>
  <si>
    <t>To Revenue</t>
  </si>
  <si>
    <t>To Capital</t>
  </si>
  <si>
    <t>Shares</t>
  </si>
  <si>
    <t>Capital</t>
  </si>
  <si>
    <t>12 months quarter ended 31 January 2004</t>
  </si>
  <si>
    <t>Retained</t>
  </si>
  <si>
    <t>Reserve Attributable</t>
  </si>
  <si>
    <t xml:space="preserve">Treasury </t>
  </si>
  <si>
    <t>Preference Share</t>
  </si>
  <si>
    <t>Ordinary Share</t>
  </si>
  <si>
    <t>Condensed Consolidated Statements of Changes in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</si>
</sst>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0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3" fillId="0" borderId="1" xfId="15" applyNumberFormat="1" applyFont="1" applyFill="1" applyBorder="1" applyAlignment="1" quotePrefix="1">
      <alignment horizontal="center"/>
    </xf>
    <xf numFmtId="164" fontId="3" fillId="0" borderId="2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>
      <alignment horizontal="center"/>
    </xf>
    <xf numFmtId="164" fontId="3" fillId="0" borderId="4" xfId="15" applyNumberFormat="1" applyFont="1" applyFill="1" applyBorder="1" applyAlignment="1">
      <alignment horizontal="center"/>
    </xf>
    <xf numFmtId="164" fontId="3" fillId="0" borderId="4" xfId="15" applyNumberFormat="1" applyFont="1" applyFill="1" applyBorder="1" applyAlignment="1" quotePrefix="1">
      <alignment horizontal="center"/>
    </xf>
    <xf numFmtId="164" fontId="3" fillId="0" borderId="5" xfId="15" applyNumberFormat="1" applyFont="1" applyFill="1" applyBorder="1" applyAlignment="1">
      <alignment horizontal="center"/>
    </xf>
    <xf numFmtId="164" fontId="3" fillId="0" borderId="6" xfId="15" applyNumberFormat="1" applyFont="1" applyFill="1" applyBorder="1" applyAlignment="1">
      <alignment horizontal="center"/>
    </xf>
    <xf numFmtId="164" fontId="3" fillId="0" borderId="2" xfId="15" applyNumberFormat="1" applyFont="1" applyFill="1" applyBorder="1" applyAlignment="1">
      <alignment horizontal="center"/>
    </xf>
    <xf numFmtId="164" fontId="2" fillId="0" borderId="4" xfId="15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2" fillId="0" borderId="8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164" fontId="0" fillId="0" borderId="0" xfId="0" applyNumberFormat="1" applyAlignment="1">
      <alignment/>
    </xf>
    <xf numFmtId="164" fontId="2" fillId="0" borderId="4" xfId="15" applyNumberFormat="1" applyFont="1" applyFill="1" applyBorder="1" applyAlignment="1" applyProtection="1">
      <alignment/>
      <protection hidden="1" locked="0"/>
    </xf>
    <xf numFmtId="164" fontId="2" fillId="0" borderId="6" xfId="15" applyNumberFormat="1" applyFont="1" applyFill="1" applyBorder="1" applyAlignment="1" applyProtection="1">
      <alignment/>
      <protection hidden="1" locked="0"/>
    </xf>
    <xf numFmtId="164" fontId="2" fillId="0" borderId="2" xfId="15" applyNumberFormat="1" applyFont="1" applyFill="1" applyBorder="1" applyAlignment="1" applyProtection="1">
      <alignment/>
      <protection hidden="1" locked="0"/>
    </xf>
    <xf numFmtId="164" fontId="2" fillId="0" borderId="10" xfId="15" applyNumberFormat="1" applyFont="1" applyFill="1" applyBorder="1" applyAlignment="1" applyProtection="1">
      <alignment/>
      <protection hidden="1" locked="0"/>
    </xf>
    <xf numFmtId="43" fontId="2" fillId="0" borderId="6" xfId="15" applyFont="1" applyFill="1" applyBorder="1" applyAlignment="1" applyProtection="1">
      <alignment/>
      <protection hidden="1" locked="0"/>
    </xf>
    <xf numFmtId="43" fontId="2" fillId="0" borderId="10" xfId="15" applyFont="1" applyFill="1" applyBorder="1" applyAlignment="1" applyProtection="1">
      <alignment/>
      <protection hidden="1" locked="0"/>
    </xf>
    <xf numFmtId="164" fontId="2" fillId="0" borderId="0" xfId="15" applyNumberFormat="1" applyFont="1" applyFill="1" applyAlignment="1" applyProtection="1">
      <alignment/>
      <protection hidden="1" locked="0"/>
    </xf>
    <xf numFmtId="164" fontId="2" fillId="0" borderId="0" xfId="15" applyNumberFormat="1" applyFont="1" applyFill="1" applyAlignment="1" applyProtection="1">
      <alignment horizontal="center"/>
      <protection hidden="1" locked="0"/>
    </xf>
    <xf numFmtId="164" fontId="2" fillId="0" borderId="0" xfId="15" applyNumberFormat="1" applyFont="1" applyFill="1" applyBorder="1" applyAlignment="1" applyProtection="1">
      <alignment/>
      <protection hidden="1" locked="0"/>
    </xf>
    <xf numFmtId="164" fontId="2" fillId="0" borderId="7" xfId="15" applyNumberFormat="1" applyFont="1" applyFill="1" applyBorder="1" applyAlignment="1" applyProtection="1">
      <alignment/>
      <protection hidden="1" locked="0"/>
    </xf>
    <xf numFmtId="164" fontId="2" fillId="0" borderId="11" xfId="15" applyNumberFormat="1" applyFont="1" applyFill="1" applyBorder="1" applyAlignment="1" applyProtection="1">
      <alignment/>
      <protection hidden="1" locked="0"/>
    </xf>
    <xf numFmtId="164" fontId="4" fillId="0" borderId="12" xfId="15" applyNumberFormat="1" applyFont="1" applyFill="1" applyBorder="1" applyAlignment="1" applyProtection="1">
      <alignment/>
      <protection hidden="1" locked="0"/>
    </xf>
    <xf numFmtId="164" fontId="4" fillId="0" borderId="0" xfId="15" applyNumberFormat="1" applyFont="1" applyFill="1" applyBorder="1" applyAlignment="1" applyProtection="1">
      <alignment/>
      <protection hidden="1" locked="0"/>
    </xf>
    <xf numFmtId="164" fontId="4" fillId="0" borderId="0" xfId="15" applyNumberFormat="1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43" fontId="3" fillId="0" borderId="0" xfId="15" applyNumberFormat="1" applyFont="1" applyFill="1" applyBorder="1" applyAlignment="1" applyProtection="1">
      <alignment/>
      <protection hidden="1" locked="0"/>
    </xf>
    <xf numFmtId="165" fontId="2" fillId="0" borderId="8" xfId="15" applyNumberFormat="1" applyFont="1" applyFill="1" applyBorder="1" applyAlignment="1" applyProtection="1">
      <alignment/>
      <protection hidden="1" locked="0"/>
    </xf>
    <xf numFmtId="165" fontId="2" fillId="0" borderId="0" xfId="15" applyNumberFormat="1" applyFont="1" applyFill="1" applyBorder="1" applyAlignment="1" applyProtection="1">
      <alignment/>
      <protection hidden="1" locked="0"/>
    </xf>
    <xf numFmtId="37" fontId="2" fillId="0" borderId="0" xfId="15" applyNumberFormat="1" applyFont="1" applyFill="1" applyAlignment="1" applyProtection="1">
      <alignment/>
      <protection hidden="1" locked="0"/>
    </xf>
    <xf numFmtId="164" fontId="2" fillId="0" borderId="12" xfId="15" applyNumberFormat="1" applyFont="1" applyFill="1" applyBorder="1" applyAlignment="1" applyProtection="1">
      <alignment/>
      <protection hidden="1" locked="0"/>
    </xf>
    <xf numFmtId="164" fontId="2" fillId="0" borderId="0" xfId="0" applyNumberFormat="1" applyFont="1" applyFill="1" applyAlignment="1" applyProtection="1">
      <alignment/>
      <protection hidden="1" locked="0"/>
    </xf>
    <xf numFmtId="164" fontId="2" fillId="0" borderId="13" xfId="15" applyNumberFormat="1" applyFont="1" applyFill="1" applyBorder="1" applyAlignment="1" applyProtection="1">
      <alignment/>
      <protection hidden="1" locked="0"/>
    </xf>
    <xf numFmtId="0" fontId="3" fillId="0" borderId="0" xfId="0" applyFont="1" applyFill="1" applyAlignment="1" applyProtection="1">
      <alignment horizontal="center"/>
      <protection hidden="1" locked="0"/>
    </xf>
    <xf numFmtId="0" fontId="2" fillId="0" borderId="12" xfId="0" applyFont="1" applyFill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164" fontId="7" fillId="0" borderId="0" xfId="0" applyNumberFormat="1" applyFont="1" applyBorder="1" applyAlignment="1" applyProtection="1">
      <alignment/>
      <protection hidden="1" locked="0"/>
    </xf>
    <xf numFmtId="164" fontId="7" fillId="0" borderId="0" xfId="15" applyNumberFormat="1" applyFont="1" applyBorder="1" applyAlignment="1" applyProtection="1">
      <alignment/>
      <protection hidden="1" locked="0"/>
    </xf>
    <xf numFmtId="164" fontId="7" fillId="0" borderId="7" xfId="15" applyNumberFormat="1" applyFont="1" applyBorder="1" applyAlignment="1" applyProtection="1">
      <alignment/>
      <protection hidden="1" locked="0"/>
    </xf>
    <xf numFmtId="164" fontId="7" fillId="0" borderId="11" xfId="0" applyNumberFormat="1" applyFont="1" applyBorder="1" applyAlignment="1" applyProtection="1">
      <alignment/>
      <protection hidden="1" locked="0"/>
    </xf>
    <xf numFmtId="164" fontId="2" fillId="0" borderId="4" xfId="15" applyNumberFormat="1" applyFont="1" applyFill="1" applyBorder="1" applyAlignment="1" quotePrefix="1">
      <alignment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43" fontId="2" fillId="0" borderId="4" xfId="15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37" fontId="0" fillId="0" borderId="0" xfId="15" applyNumberFormat="1" applyFont="1" applyAlignment="1">
      <alignment/>
    </xf>
    <xf numFmtId="0" fontId="8" fillId="0" borderId="1" xfId="0" applyFont="1" applyFill="1" applyBorder="1" applyAlignment="1">
      <alignment horizontal="left"/>
    </xf>
    <xf numFmtId="37" fontId="8" fillId="0" borderId="2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 quotePrefix="1">
      <alignment horizontal="left"/>
    </xf>
    <xf numFmtId="37" fontId="8" fillId="0" borderId="4" xfId="15" applyNumberFormat="1" applyFont="1" applyBorder="1" applyAlignment="1">
      <alignment horizontal="center"/>
    </xf>
    <xf numFmtId="37" fontId="0" fillId="0" borderId="4" xfId="15" applyNumberFormat="1" applyBorder="1" applyAlignment="1">
      <alignment/>
    </xf>
    <xf numFmtId="0" fontId="8" fillId="0" borderId="5" xfId="0" applyFont="1" applyFill="1" applyBorder="1" applyAlignment="1" quotePrefix="1">
      <alignment horizontal="left"/>
    </xf>
    <xf numFmtId="37" fontId="0" fillId="0" borderId="6" xfId="15" applyNumberForma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37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164" fontId="0" fillId="0" borderId="4" xfId="15" applyNumberFormat="1" applyBorder="1" applyAlignment="1">
      <alignment/>
    </xf>
    <xf numFmtId="43" fontId="0" fillId="0" borderId="0" xfId="0" applyNumberFormat="1" applyAlignment="1">
      <alignment/>
    </xf>
    <xf numFmtId="0" fontId="8" fillId="0" borderId="7" xfId="0" applyFont="1" applyFill="1" applyBorder="1" applyAlignment="1" applyProtection="1">
      <alignment horizontal="left"/>
      <protection/>
    </xf>
    <xf numFmtId="164" fontId="0" fillId="0" borderId="6" xfId="15" applyNumberFormat="1" applyBorder="1" applyAlignment="1">
      <alignment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 horizontal="left"/>
      <protection/>
    </xf>
    <xf numFmtId="164" fontId="0" fillId="0" borderId="10" xfId="15" applyNumberFormat="1" applyBorder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64" fontId="0" fillId="0" borderId="0" xfId="15" applyNumberFormat="1" applyFont="1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 applyProtection="1" quotePrefix="1">
      <alignment horizontal="left"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3" fillId="0" borderId="0" xfId="0" applyFont="1" applyFill="1" applyAlignment="1" applyProtection="1" quotePrefix="1">
      <alignment/>
      <protection hidden="1" locked="0"/>
    </xf>
    <xf numFmtId="0" fontId="1" fillId="0" borderId="0" xfId="0" applyFont="1" applyFill="1" applyAlignment="1" applyProtection="1">
      <alignment/>
      <protection hidden="1" locked="0"/>
    </xf>
    <xf numFmtId="43" fontId="2" fillId="0" borderId="0" xfId="15" applyFont="1" applyFill="1" applyAlignment="1" applyProtection="1">
      <alignment/>
      <protection hidden="1"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/>
      <protection hidden="1" locked="0"/>
    </xf>
    <xf numFmtId="164" fontId="2" fillId="0" borderId="7" xfId="0" applyNumberFormat="1" applyFont="1" applyBorder="1" applyAlignment="1" applyProtection="1">
      <alignment/>
      <protection hidden="1" locked="0"/>
    </xf>
    <xf numFmtId="164" fontId="2" fillId="0" borderId="11" xfId="0" applyNumberFormat="1" applyFont="1" applyBorder="1" applyAlignment="1" applyProtection="1">
      <alignment/>
      <protection hidden="1" locked="0"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15" fontId="1" fillId="0" borderId="0" xfId="0" applyNumberFormat="1" applyFont="1" applyAlignment="1" quotePrefix="1">
      <alignment/>
    </xf>
    <xf numFmtId="164" fontId="2" fillId="0" borderId="7" xfId="15" applyNumberFormat="1" applyFont="1" applyBorder="1" applyAlignment="1">
      <alignment horizontal="center"/>
    </xf>
    <xf numFmtId="164" fontId="2" fillId="0" borderId="0" xfId="15" applyNumberFormat="1" applyFont="1" applyAlignment="1" applyProtection="1">
      <alignment/>
      <protection hidden="1" locked="0"/>
    </xf>
    <xf numFmtId="164" fontId="2" fillId="0" borderId="0" xfId="15" applyNumberFormat="1" applyFont="1" applyBorder="1" applyAlignment="1" applyProtection="1">
      <alignment/>
      <protection hidden="1" locked="0"/>
    </xf>
    <xf numFmtId="164" fontId="2" fillId="0" borderId="7" xfId="15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164" fontId="2" fillId="0" borderId="11" xfId="15" applyNumberFormat="1" applyFont="1" applyBorder="1" applyAlignment="1" applyProtection="1">
      <alignment/>
      <protection hidden="1" locked="0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ry\Talam%20Conso\BOD%20MEETING\KLSE_Ann%20QR-Jan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ry\Talam%20Conso\BOD%20MEETING\Q4_Ja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ew\gary\Gary\TLM_Q2'03\KLSE_Ann%20QR-July%202003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ry\Talam%20Conso\BOD%20MEETING\CF0401_Columna%20Meth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ew\gary\TlmConso_0307Adt\Q2_July03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 Inc Sttm-4 Leow"/>
      <sheetName val="Inc Sttm-workings"/>
      <sheetName val="gp margin-segment"/>
      <sheetName val="GP MARGIN"/>
      <sheetName val="Condensed BS-tcb"/>
      <sheetName val="Notes To BS"/>
      <sheetName val="BSHEET"/>
      <sheetName val="EQUITY-tcb"/>
      <sheetName val="NOTES"/>
      <sheetName val="Segment"/>
      <sheetName val="ASSOCIATE&amp;MI"/>
      <sheetName val="DEPN &amp; AMOR"/>
      <sheetName val="WEIGHTED-30 APR 2003"/>
      <sheetName val="WEIGHTED-31 JAN 2003"/>
      <sheetName val="WEIGHTED-31JULY2002"/>
      <sheetName val="FINANCE COST"/>
      <sheetName val="RPT"/>
      <sheetName val="Detailed CF-31.1.2003"/>
      <sheetName val="Condensed CF-31.1.2003"/>
      <sheetName val="CF-workings31.1.2003"/>
      <sheetName val="Workings"/>
      <sheetName val="CONT LIAB"/>
    </sheetNames>
    <sheetDataSet>
      <sheetData sheetId="0">
        <row r="27">
          <cell r="F27">
            <v>54232.350022324514</v>
          </cell>
        </row>
      </sheetData>
      <sheetData sheetId="1">
        <row r="11">
          <cell r="D11">
            <v>326712.0948232</v>
          </cell>
          <cell r="E11">
            <v>228521</v>
          </cell>
          <cell r="F11">
            <v>949192.0948232</v>
          </cell>
          <cell r="G11">
            <v>897003</v>
          </cell>
        </row>
        <row r="13">
          <cell r="D13">
            <v>-250875.62968799996</v>
          </cell>
          <cell r="E13">
            <v>-138013</v>
          </cell>
          <cell r="F13">
            <v>-756222.629688</v>
          </cell>
          <cell r="G13">
            <v>-768493</v>
          </cell>
        </row>
        <row r="20">
          <cell r="D20">
            <v>-45206.144189536935</v>
          </cell>
          <cell r="E20">
            <v>-86737</v>
          </cell>
          <cell r="F20">
            <v>-130400.14418953694</v>
          </cell>
          <cell r="G20">
            <v>-86737</v>
          </cell>
        </row>
        <row r="22">
          <cell r="D22">
            <v>8756.9866292</v>
          </cell>
          <cell r="E22">
            <v>5985</v>
          </cell>
          <cell r="F22">
            <v>29879.9866292</v>
          </cell>
          <cell r="G22">
            <v>30984</v>
          </cell>
        </row>
        <row r="27">
          <cell r="D27">
            <v>-7137.068037999998</v>
          </cell>
          <cell r="E27">
            <v>328</v>
          </cell>
          <cell r="F27">
            <v>-21258.068037999998</v>
          </cell>
          <cell r="G27">
            <v>-16534</v>
          </cell>
        </row>
        <row r="29">
          <cell r="D29">
            <v>-647.6292996000002</v>
          </cell>
          <cell r="E29">
            <v>2957</v>
          </cell>
          <cell r="F29">
            <v>4245.3707004</v>
          </cell>
          <cell r="G29">
            <v>2110</v>
          </cell>
        </row>
        <row r="32">
          <cell r="D32">
            <v>-8598.757000000001</v>
          </cell>
          <cell r="E32">
            <v>-5237</v>
          </cell>
          <cell r="F32">
            <v>-24162.757</v>
          </cell>
          <cell r="G32">
            <v>-21606</v>
          </cell>
        </row>
        <row r="40">
          <cell r="D40">
            <v>93.49678506136934</v>
          </cell>
          <cell r="E40">
            <v>-2747</v>
          </cell>
          <cell r="F40">
            <v>2958.4967850613693</v>
          </cell>
          <cell r="G40">
            <v>-2234</v>
          </cell>
        </row>
        <row r="43">
          <cell r="D43">
            <v>7.889274486822203</v>
          </cell>
          <cell r="E43">
            <v>2.348924706210228</v>
          </cell>
          <cell r="F43">
            <v>18.52399039472528</v>
          </cell>
          <cell r="G43">
            <v>16.02164522272284</v>
          </cell>
        </row>
        <row r="44">
          <cell r="D44">
            <v>5.1465101527916985</v>
          </cell>
          <cell r="F44">
            <v>13.551939000407264</v>
          </cell>
        </row>
      </sheetData>
      <sheetData sheetId="7">
        <row r="13">
          <cell r="G13">
            <v>274960.60796453955</v>
          </cell>
        </row>
        <row r="14">
          <cell r="G14">
            <v>1228624.69489</v>
          </cell>
        </row>
        <row r="16">
          <cell r="G16">
            <v>244269.3803727242</v>
          </cell>
        </row>
        <row r="17">
          <cell r="G17">
            <v>0.000309999942779541</v>
          </cell>
        </row>
        <row r="19">
          <cell r="G19">
            <v>2706.4658393093187</v>
          </cell>
        </row>
        <row r="20">
          <cell r="G20">
            <v>70502.415</v>
          </cell>
        </row>
        <row r="22">
          <cell r="G22">
            <v>4611.994</v>
          </cell>
        </row>
        <row r="26">
          <cell r="G26">
            <v>1369663.1122149792</v>
          </cell>
        </row>
        <row r="27">
          <cell r="G27">
            <v>86073.8579439</v>
          </cell>
        </row>
        <row r="28">
          <cell r="G28">
            <v>346.077</v>
          </cell>
        </row>
        <row r="29">
          <cell r="G29">
            <v>167287.47440520002</v>
          </cell>
        </row>
        <row r="30">
          <cell r="G30">
            <v>483334.4921365001</v>
          </cell>
        </row>
        <row r="31">
          <cell r="G31">
            <v>308265.08110179997</v>
          </cell>
        </row>
        <row r="36">
          <cell r="G36">
            <v>6168.886</v>
          </cell>
        </row>
        <row r="37">
          <cell r="G37">
            <v>416667.9155762</v>
          </cell>
        </row>
        <row r="38">
          <cell r="G38">
            <v>0</v>
          </cell>
        </row>
        <row r="39">
          <cell r="G39">
            <v>610525.380311365</v>
          </cell>
        </row>
        <row r="40">
          <cell r="G40">
            <v>888309.7072314998</v>
          </cell>
        </row>
        <row r="41">
          <cell r="G41">
            <v>186473.215</v>
          </cell>
        </row>
        <row r="52">
          <cell r="G52">
            <v>607913.678</v>
          </cell>
        </row>
        <row r="54">
          <cell r="G54">
            <v>124673.353</v>
          </cell>
        </row>
        <row r="55">
          <cell r="G55">
            <v>11778.333409338002</v>
          </cell>
          <cell r="K55">
            <v>-3.6665906619982707</v>
          </cell>
        </row>
        <row r="56">
          <cell r="G56">
            <v>35665.776</v>
          </cell>
        </row>
        <row r="57">
          <cell r="G57">
            <v>11901.439055199999</v>
          </cell>
        </row>
        <row r="58">
          <cell r="G58">
            <v>225784.387686051</v>
          </cell>
        </row>
        <row r="60">
          <cell r="G60">
            <v>-20</v>
          </cell>
        </row>
        <row r="64">
          <cell r="G64">
            <v>11304.744218283668</v>
          </cell>
        </row>
        <row r="66">
          <cell r="G66">
            <v>103522.244</v>
          </cell>
        </row>
        <row r="67">
          <cell r="G67">
            <v>250000</v>
          </cell>
        </row>
        <row r="68">
          <cell r="G68">
            <v>0</v>
          </cell>
        </row>
        <row r="69">
          <cell r="G69">
            <v>-6160.899471036464</v>
          </cell>
        </row>
        <row r="70">
          <cell r="G70">
            <v>756137.493963242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Europlus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14">
          <cell r="BY14">
            <v>-1911332.75</v>
          </cell>
          <cell r="CG14">
            <v>0</v>
          </cell>
          <cell r="EO14">
            <v>74000000</v>
          </cell>
        </row>
        <row r="39">
          <cell r="EO39">
            <v>10909378</v>
          </cell>
        </row>
        <row r="47">
          <cell r="EP47">
            <v>4245370.7003999995</v>
          </cell>
        </row>
        <row r="52">
          <cell r="EP52">
            <v>-34627998</v>
          </cell>
        </row>
        <row r="53">
          <cell r="EP53">
            <v>1429393</v>
          </cell>
        </row>
        <row r="54">
          <cell r="EP54">
            <v>9683864</v>
          </cell>
        </row>
        <row r="55">
          <cell r="EP55">
            <v>-648016</v>
          </cell>
        </row>
        <row r="57">
          <cell r="EP57">
            <v>51273853.2372631</v>
          </cell>
        </row>
        <row r="175">
          <cell r="EP175">
            <v>40938922.101799995</v>
          </cell>
        </row>
        <row r="176">
          <cell r="EP176">
            <v>267326159</v>
          </cell>
        </row>
        <row r="177">
          <cell r="EP177">
            <v>0</v>
          </cell>
        </row>
        <row r="183">
          <cell r="EO183">
            <v>0</v>
          </cell>
        </row>
        <row r="192">
          <cell r="EP192">
            <v>44778825</v>
          </cell>
        </row>
        <row r="201">
          <cell r="EO201">
            <v>-17309378</v>
          </cell>
        </row>
        <row r="203">
          <cell r="EP203">
            <v>894476969.2314999</v>
          </cell>
        </row>
        <row r="218">
          <cell r="EP218">
            <v>0.36122599244117737</v>
          </cell>
        </row>
        <row r="245">
          <cell r="EP245">
            <v>59166798</v>
          </cell>
        </row>
        <row r="640">
          <cell r="EN640">
            <v>-342200000</v>
          </cell>
        </row>
        <row r="675">
          <cell r="EN675">
            <v>-9352</v>
          </cell>
        </row>
        <row r="676">
          <cell r="EN676">
            <v>740746518</v>
          </cell>
        </row>
        <row r="677">
          <cell r="EN677">
            <v>21832731</v>
          </cell>
        </row>
        <row r="678">
          <cell r="EN678">
            <v>19121626.25</v>
          </cell>
        </row>
        <row r="679">
          <cell r="EN679">
            <v>14010337</v>
          </cell>
        </row>
        <row r="680">
          <cell r="EM680">
            <v>0</v>
          </cell>
          <cell r="EN680">
            <v>1996866</v>
          </cell>
        </row>
        <row r="681">
          <cell r="EM681">
            <v>-1416832</v>
          </cell>
          <cell r="EN681">
            <v>4547352</v>
          </cell>
        </row>
        <row r="682">
          <cell r="EM682">
            <v>-18806592</v>
          </cell>
          <cell r="EN682">
            <v>40400087</v>
          </cell>
        </row>
        <row r="683">
          <cell r="EN683">
            <v>18175104.573200002</v>
          </cell>
        </row>
        <row r="684">
          <cell r="EN684">
            <v>14370825</v>
          </cell>
        </row>
        <row r="704">
          <cell r="EM704">
            <v>2851792.817080116</v>
          </cell>
          <cell r="EN704">
            <v>3162551.817080116</v>
          </cell>
        </row>
        <row r="705">
          <cell r="EM705">
            <v>-40820140.21978022</v>
          </cell>
          <cell r="EN705">
            <v>33460579.78021978</v>
          </cell>
        </row>
        <row r="706">
          <cell r="EM706">
            <v>197000</v>
          </cell>
          <cell r="EN706">
            <v>197000</v>
          </cell>
        </row>
        <row r="707">
          <cell r="EM707">
            <v>0</v>
          </cell>
          <cell r="EN707">
            <v>9763025</v>
          </cell>
        </row>
        <row r="708">
          <cell r="EM708">
            <v>2298781.95</v>
          </cell>
          <cell r="EN708">
            <v>2235373.23</v>
          </cell>
        </row>
        <row r="709">
          <cell r="EM709">
            <v>18057.005263157902</v>
          </cell>
          <cell r="EN709">
            <v>-2112161.994736842</v>
          </cell>
        </row>
        <row r="710">
          <cell r="EM710">
            <v>0</v>
          </cell>
          <cell r="EN710">
            <v>803318</v>
          </cell>
        </row>
        <row r="711">
          <cell r="EM711">
            <v>0</v>
          </cell>
          <cell r="EN711">
            <v>2700381</v>
          </cell>
        </row>
        <row r="712">
          <cell r="EM712">
            <v>0</v>
          </cell>
          <cell r="EN712">
            <v>-607696.2652999964</v>
          </cell>
        </row>
        <row r="713">
          <cell r="EM713">
            <v>-425578.3</v>
          </cell>
          <cell r="EN713">
            <v>21620242.08</v>
          </cell>
        </row>
        <row r="715">
          <cell r="EM715">
            <v>4647139.7003999995</v>
          </cell>
        </row>
        <row r="717">
          <cell r="EM717">
            <v>-31232947.047036942</v>
          </cell>
        </row>
        <row r="751">
          <cell r="EN751">
            <v>-170848767.85861993</v>
          </cell>
        </row>
        <row r="752">
          <cell r="EN752">
            <v>3647983872.581543</v>
          </cell>
        </row>
        <row r="753">
          <cell r="EN753">
            <v>0</v>
          </cell>
        </row>
        <row r="754">
          <cell r="EN754">
            <v>148772354</v>
          </cell>
        </row>
        <row r="755">
          <cell r="EN755">
            <v>19416766.754999995</v>
          </cell>
        </row>
        <row r="756">
          <cell r="EN756">
            <v>50112211.00526316</v>
          </cell>
        </row>
        <row r="757">
          <cell r="EN757">
            <v>78074317.34</v>
          </cell>
        </row>
        <row r="758">
          <cell r="EN758">
            <v>26780273</v>
          </cell>
        </row>
        <row r="759">
          <cell r="EN759">
            <v>167924043.59939998</v>
          </cell>
        </row>
        <row r="760">
          <cell r="EN760">
            <v>278830583.5175921</v>
          </cell>
        </row>
        <row r="766">
          <cell r="EN766">
            <v>-935156675.1929002</v>
          </cell>
        </row>
        <row r="767">
          <cell r="EN767">
            <v>3201400033</v>
          </cell>
        </row>
        <row r="768">
          <cell r="EN768">
            <v>0</v>
          </cell>
        </row>
        <row r="769">
          <cell r="EN769">
            <v>138055249</v>
          </cell>
        </row>
        <row r="770">
          <cell r="EN770">
            <v>25095298.769765</v>
          </cell>
        </row>
        <row r="771">
          <cell r="EN771">
            <v>71718004</v>
          </cell>
        </row>
        <row r="772">
          <cell r="EN772">
            <v>58619628</v>
          </cell>
        </row>
        <row r="773">
          <cell r="EN773">
            <v>18628341</v>
          </cell>
        </row>
        <row r="774">
          <cell r="EN774">
            <v>120537131.49544202</v>
          </cell>
        </row>
        <row r="775">
          <cell r="EN775">
            <v>349743995.01000005</v>
          </cell>
        </row>
        <row r="782">
          <cell r="EN782">
            <v>823679</v>
          </cell>
        </row>
        <row r="783">
          <cell r="EN783">
            <v>466446.2197802198</v>
          </cell>
        </row>
        <row r="784">
          <cell r="EN784">
            <v>0</v>
          </cell>
        </row>
        <row r="785">
          <cell r="EN785">
            <v>564015</v>
          </cell>
        </row>
        <row r="786">
          <cell r="EN786">
            <v>14352</v>
          </cell>
        </row>
        <row r="787">
          <cell r="EN787">
            <v>1259836</v>
          </cell>
        </row>
        <row r="788">
          <cell r="EN788">
            <v>23244</v>
          </cell>
        </row>
        <row r="789">
          <cell r="EN789">
            <v>792603</v>
          </cell>
        </row>
        <row r="790">
          <cell r="EN790">
            <v>2933525.4861</v>
          </cell>
        </row>
        <row r="791">
          <cell r="EN791">
            <v>2565227.3</v>
          </cell>
        </row>
        <row r="917">
          <cell r="EM917">
            <v>2786</v>
          </cell>
          <cell r="EN917">
            <v>1495695</v>
          </cell>
        </row>
        <row r="918">
          <cell r="EM918">
            <v>-4886462</v>
          </cell>
          <cell r="EN918">
            <v>8603844</v>
          </cell>
        </row>
        <row r="919">
          <cell r="EM919">
            <v>0</v>
          </cell>
          <cell r="EN919">
            <v>0</v>
          </cell>
        </row>
        <row r="920">
          <cell r="EM920">
            <v>0</v>
          </cell>
          <cell r="EN920">
            <v>31195</v>
          </cell>
        </row>
        <row r="921">
          <cell r="EM921">
            <v>0</v>
          </cell>
          <cell r="EN921">
            <v>0</v>
          </cell>
        </row>
        <row r="922">
          <cell r="EM922">
            <v>0</v>
          </cell>
          <cell r="EN922">
            <v>90332</v>
          </cell>
        </row>
        <row r="923">
          <cell r="EM923">
            <v>0</v>
          </cell>
          <cell r="EN923">
            <v>0</v>
          </cell>
        </row>
        <row r="924">
          <cell r="EM924">
            <v>0</v>
          </cell>
          <cell r="EN924">
            <v>70157</v>
          </cell>
        </row>
        <row r="925">
          <cell r="EM925">
            <v>-5280</v>
          </cell>
          <cell r="EN925">
            <v>2163.9276</v>
          </cell>
        </row>
        <row r="926">
          <cell r="EM926">
            <v>0</v>
          </cell>
          <cell r="EN926">
            <v>23930</v>
          </cell>
        </row>
        <row r="928">
          <cell r="EM928">
            <v>-4888956</v>
          </cell>
        </row>
        <row r="932">
          <cell r="EM932">
            <v>-330002</v>
          </cell>
          <cell r="EN932">
            <v>-6923418</v>
          </cell>
        </row>
        <row r="933">
          <cell r="EM933">
            <v>6195556</v>
          </cell>
          <cell r="EN933">
            <v>-8725400</v>
          </cell>
        </row>
        <row r="934">
          <cell r="EM934">
            <v>0</v>
          </cell>
          <cell r="EN934">
            <v>0</v>
          </cell>
        </row>
        <row r="935">
          <cell r="EM935">
            <v>0</v>
          </cell>
          <cell r="EN935">
            <v>829745</v>
          </cell>
        </row>
        <row r="936">
          <cell r="EM936">
            <v>0</v>
          </cell>
          <cell r="EN936">
            <v>-166402</v>
          </cell>
        </row>
        <row r="937">
          <cell r="EM937">
            <v>0</v>
          </cell>
          <cell r="EN937">
            <v>-482762</v>
          </cell>
        </row>
        <row r="938">
          <cell r="EM938">
            <v>1416832</v>
          </cell>
          <cell r="EN938">
            <v>1416832</v>
          </cell>
        </row>
        <row r="939">
          <cell r="EM939">
            <v>0</v>
          </cell>
          <cell r="EN939">
            <v>-1192791</v>
          </cell>
        </row>
        <row r="940">
          <cell r="EM940">
            <v>30308</v>
          </cell>
          <cell r="EN940">
            <v>-3032683.038</v>
          </cell>
        </row>
        <row r="941">
          <cell r="EM941">
            <v>126126</v>
          </cell>
          <cell r="EN941">
            <v>-2981189</v>
          </cell>
        </row>
        <row r="943">
          <cell r="EM943">
            <v>7438820</v>
          </cell>
        </row>
        <row r="962">
          <cell r="EN962">
            <v>573944</v>
          </cell>
        </row>
        <row r="963">
          <cell r="EN963">
            <v>531447</v>
          </cell>
        </row>
        <row r="964">
          <cell r="EN964">
            <v>0</v>
          </cell>
        </row>
        <row r="965">
          <cell r="EN965">
            <v>1505545</v>
          </cell>
        </row>
        <row r="966">
          <cell r="EN966">
            <v>0</v>
          </cell>
        </row>
        <row r="967">
          <cell r="EN967">
            <v>34327</v>
          </cell>
        </row>
        <row r="968">
          <cell r="EN968">
            <v>8350</v>
          </cell>
        </row>
        <row r="969">
          <cell r="EN969">
            <v>4904</v>
          </cell>
        </row>
        <row r="970">
          <cell r="EN970">
            <v>884527.2644999999</v>
          </cell>
        </row>
        <row r="971">
          <cell r="EN971">
            <v>1121175</v>
          </cell>
        </row>
        <row r="1071">
          <cell r="EN1071">
            <v>57914767.064725995</v>
          </cell>
        </row>
        <row r="1072">
          <cell r="EN1072">
            <v>177112079.59939998</v>
          </cell>
        </row>
        <row r="1090">
          <cell r="EN1090">
            <v>15578875.5732</v>
          </cell>
        </row>
        <row r="1151">
          <cell r="AX1151">
            <v>884527.2644999999</v>
          </cell>
        </row>
      </sheetData>
      <sheetData sheetId="12">
        <row r="352">
          <cell r="N352">
            <v>850966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 Inc Sttm-4 Leow"/>
      <sheetName val="Inc Sttm-workings"/>
      <sheetName val="gp margin-segment"/>
      <sheetName val="GP MARGIN"/>
      <sheetName val="Condensed BS-tcb"/>
      <sheetName val="BSHEET"/>
      <sheetName val="EQUITY-tcb"/>
      <sheetName val="NOTES"/>
      <sheetName val="Segment"/>
      <sheetName val="ASSOCIATE"/>
      <sheetName val="DEPN &amp; AMOR"/>
      <sheetName val="WEIGHTED-30 APR 2003"/>
      <sheetName val="WEIGHTED-31 JAN 2003"/>
      <sheetName val="WEIGHTED-31JULY2002"/>
      <sheetName val="FINANCE COST"/>
      <sheetName val="RPT"/>
      <sheetName val="Detailed CF-31.1.2003"/>
      <sheetName val="Condensed CF-31.1.2003"/>
      <sheetName val="CF-workings31.1.2003"/>
      <sheetName val="Workings"/>
      <sheetName val="CONT LIAB"/>
    </sheetNames>
    <sheetDataSet>
      <sheetData sheetId="0">
        <row r="1">
          <cell r="A1" t="str">
            <v>TALAM CORPORATION BERHAD (1120-H)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ub Acquired"/>
      <sheetName val="Subsidiary Disposed"/>
      <sheetName val="Fixed Asset"/>
      <sheetName val="Land Vendor"/>
      <sheetName val="Loan Sch"/>
      <sheetName val="Cash &amp; Cash Eqv"/>
    </sheetNames>
    <sheetDataSet>
      <sheetData sheetId="1">
        <row r="80">
          <cell r="L80">
            <v>155363.82469170186</v>
          </cell>
        </row>
        <row r="81">
          <cell r="L81">
            <v>-143788.73909145547</v>
          </cell>
        </row>
        <row r="82">
          <cell r="L82">
            <v>-84326.18727744516</v>
          </cell>
        </row>
        <row r="84">
          <cell r="L84">
            <v>168121</v>
          </cell>
        </row>
        <row r="94">
          <cell r="L94">
            <v>-168117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35">
          <cell r="EN35">
            <v>7857971</v>
          </cell>
        </row>
        <row r="41">
          <cell r="EN41">
            <v>-13920119.3856</v>
          </cell>
        </row>
        <row r="47">
          <cell r="EN47">
            <v>5186082.9512</v>
          </cell>
        </row>
        <row r="50">
          <cell r="EN50">
            <v>36602523.705621265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C20">
      <selection activeCell="E31" sqref="E31"/>
    </sheetView>
  </sheetViews>
  <sheetFormatPr defaultColWidth="9.140625" defaultRowHeight="12.75"/>
  <cols>
    <col min="1" max="1" width="1.7109375" style="2" customWidth="1"/>
    <col min="2" max="2" width="47.421875" style="2" customWidth="1"/>
    <col min="3" max="3" width="5.57421875" style="2" customWidth="1"/>
    <col min="4" max="7" width="18.7109375" style="3" customWidth="1"/>
    <col min="8" max="8" width="10.8515625" style="2" customWidth="1"/>
    <col min="9" max="9" width="19.140625" style="2" customWidth="1"/>
    <col min="10" max="16384" width="9.140625" style="2" customWidth="1"/>
  </cols>
  <sheetData>
    <row r="1" ht="12.75">
      <c r="A1" s="1" t="s">
        <v>0</v>
      </c>
    </row>
    <row r="3" ht="12.75">
      <c r="B3" s="1" t="s">
        <v>1</v>
      </c>
    </row>
    <row r="4" ht="12.75">
      <c r="B4" s="1" t="s">
        <v>2</v>
      </c>
    </row>
    <row r="6" spans="4:7" ht="12.75">
      <c r="D6" s="4" t="s">
        <v>3</v>
      </c>
      <c r="E6" s="5" t="s">
        <v>4</v>
      </c>
      <c r="F6" s="5" t="str">
        <f>+D6</f>
        <v>2004</v>
      </c>
      <c r="G6" s="5" t="str">
        <f>+E6</f>
        <v>2003</v>
      </c>
    </row>
    <row r="7" spans="4:7" ht="12.75">
      <c r="D7" s="6" t="s">
        <v>5</v>
      </c>
      <c r="E7" s="7" t="s">
        <v>6</v>
      </c>
      <c r="F7" s="8" t="s">
        <v>7</v>
      </c>
      <c r="G7" s="8" t="str">
        <f>+F7</f>
        <v>12 month</v>
      </c>
    </row>
    <row r="8" spans="4:7" ht="12.75">
      <c r="D8" s="9" t="s">
        <v>8</v>
      </c>
      <c r="E8" s="10" t="str">
        <f>+D8</f>
        <v>Ended 31 January</v>
      </c>
      <c r="F8" s="10" t="s">
        <v>9</v>
      </c>
      <c r="G8" s="10" t="str">
        <f>+F8</f>
        <v>Cumulative to-date</v>
      </c>
    </row>
    <row r="9" spans="4:7" ht="12.75">
      <c r="D9" s="11" t="s">
        <v>10</v>
      </c>
      <c r="E9" s="11" t="s">
        <v>10</v>
      </c>
      <c r="F9" s="11" t="s">
        <v>10</v>
      </c>
      <c r="G9" s="11" t="s">
        <v>10</v>
      </c>
    </row>
    <row r="10" spans="4:7" ht="12.75">
      <c r="D10" s="12"/>
      <c r="E10" s="12"/>
      <c r="F10" s="65" t="s">
        <v>156</v>
      </c>
      <c r="G10" s="12"/>
    </row>
    <row r="11" spans="2:7" ht="12.75">
      <c r="B11" s="2" t="s">
        <v>11</v>
      </c>
      <c r="D11" s="35">
        <f>+'[1]Cond Inc Sttm-4 Leow'!D11</f>
        <v>326712.0948232</v>
      </c>
      <c r="E11" s="35">
        <f>+'[1]Cond Inc Sttm-4 Leow'!E11</f>
        <v>228521</v>
      </c>
      <c r="F11" s="35">
        <f>+'[1]Cond Inc Sttm-4 Leow'!F11</f>
        <v>949192.0948232</v>
      </c>
      <c r="G11" s="35">
        <f>+'[1]Cond Inc Sttm-4 Leow'!G11</f>
        <v>897003</v>
      </c>
    </row>
    <row r="12" spans="4:7" ht="12.75">
      <c r="D12" s="35"/>
      <c r="E12" s="35"/>
      <c r="F12" s="35"/>
      <c r="G12" s="35"/>
    </row>
    <row r="13" spans="2:9" ht="12.75">
      <c r="B13" s="2" t="s">
        <v>12</v>
      </c>
      <c r="D13" s="35">
        <f>+'[1]Cond Inc Sttm-4 Leow'!D13+'[1]Cond Inc Sttm-4 Leow'!D20</f>
        <v>-296081.7738775369</v>
      </c>
      <c r="E13" s="35">
        <f>+'[1]Cond Inc Sttm-4 Leow'!E13+'[1]Cond Inc Sttm-4 Leow'!E20</f>
        <v>-224750</v>
      </c>
      <c r="F13" s="35">
        <f>+'[1]Cond Inc Sttm-4 Leow'!F13+'[1]Cond Inc Sttm-4 Leow'!F20</f>
        <v>-886622.7738775369</v>
      </c>
      <c r="G13" s="35">
        <f>+'[1]Cond Inc Sttm-4 Leow'!G13+'[1]Cond Inc Sttm-4 Leow'!G20</f>
        <v>-855230</v>
      </c>
      <c r="I13" s="3"/>
    </row>
    <row r="14" spans="4:9" ht="12.75">
      <c r="D14" s="35"/>
      <c r="E14" s="35"/>
      <c r="F14" s="35"/>
      <c r="G14" s="35"/>
      <c r="I14" s="3"/>
    </row>
    <row r="15" spans="2:9" ht="12.75">
      <c r="B15" s="2" t="s">
        <v>13</v>
      </c>
      <c r="D15" s="35">
        <f>+'[1]Cond Inc Sttm-4 Leow'!D22-6000</f>
        <v>2756.9866292000006</v>
      </c>
      <c r="E15" s="36">
        <f>+'[1]Cond Inc Sttm-4 Leow'!E22</f>
        <v>5985</v>
      </c>
      <c r="F15" s="35">
        <f>+'[1]Cond Inc Sttm-4 Leow'!F22-6000</f>
        <v>23879.9866292</v>
      </c>
      <c r="G15" s="36">
        <f>+'[1]Cond Inc Sttm-4 Leow'!G22</f>
        <v>30984</v>
      </c>
      <c r="I15" s="3"/>
    </row>
    <row r="16" spans="2:9" ht="12.75">
      <c r="B16" s="2" t="s">
        <v>14</v>
      </c>
      <c r="D16" s="37">
        <f>SUM(D11:D15)</f>
        <v>33387.307574863145</v>
      </c>
      <c r="E16" s="37">
        <f>SUM(E11:E15)</f>
        <v>9756</v>
      </c>
      <c r="F16" s="37">
        <f>SUM(F11:F15)</f>
        <v>86449.30757486314</v>
      </c>
      <c r="G16" s="37">
        <f>SUM(G11:G15)</f>
        <v>72757</v>
      </c>
      <c r="I16" s="3"/>
    </row>
    <row r="17" spans="4:9" ht="12.75" customHeight="1">
      <c r="D17" s="35"/>
      <c r="E17" s="35"/>
      <c r="F17" s="35"/>
      <c r="G17" s="35"/>
      <c r="I17" s="3"/>
    </row>
    <row r="18" spans="2:9" ht="12.75" customHeight="1">
      <c r="B18" s="2" t="s">
        <v>15</v>
      </c>
      <c r="D18" s="35">
        <f>+'[1]Cond Inc Sttm-4 Leow'!D27+6000</f>
        <v>-1137.0680379999976</v>
      </c>
      <c r="E18" s="35">
        <f>+'[1]Cond Inc Sttm-4 Leow'!E27</f>
        <v>328</v>
      </c>
      <c r="F18" s="35">
        <f>+'[1]Cond Inc Sttm-4 Leow'!F27+6000</f>
        <v>-15258.068037999998</v>
      </c>
      <c r="G18" s="35">
        <f>+'[1]Cond Inc Sttm-4 Leow'!G27</f>
        <v>-16534</v>
      </c>
      <c r="I18" s="3"/>
    </row>
    <row r="19" spans="4:9" ht="12.75">
      <c r="D19" s="35"/>
      <c r="E19" s="35"/>
      <c r="F19" s="35">
        <f>+'[1]Inc Sttm-workings'!E32</f>
        <v>0</v>
      </c>
      <c r="G19" s="35"/>
      <c r="I19" s="3"/>
    </row>
    <row r="20" spans="2:9" ht="12.75">
      <c r="B20" s="2" t="s">
        <v>16</v>
      </c>
      <c r="D20" s="36">
        <f>+'[1]Cond Inc Sttm-4 Leow'!D29</f>
        <v>-647.6292996000002</v>
      </c>
      <c r="E20" s="36">
        <f>+'[1]Cond Inc Sttm-4 Leow'!E29</f>
        <v>2957</v>
      </c>
      <c r="F20" s="36">
        <f>+'[1]Cond Inc Sttm-4 Leow'!F29</f>
        <v>4245.3707004</v>
      </c>
      <c r="G20" s="36">
        <f>+'[1]Cond Inc Sttm-4 Leow'!G29</f>
        <v>2110</v>
      </c>
      <c r="I20" s="3"/>
    </row>
    <row r="21" spans="2:7" ht="12.75">
      <c r="B21" s="2" t="s">
        <v>17</v>
      </c>
      <c r="D21" s="35">
        <f>SUM(D16:D20)</f>
        <v>31602.610237263147</v>
      </c>
      <c r="E21" s="35">
        <f>SUM(E16:E20)</f>
        <v>13041</v>
      </c>
      <c r="F21" s="35">
        <f>SUM(F16:F20)</f>
        <v>75436.61023726314</v>
      </c>
      <c r="G21" s="35">
        <f>SUM(G16:G20)</f>
        <v>58333</v>
      </c>
    </row>
    <row r="22" spans="4:7" ht="12.75">
      <c r="D22" s="35"/>
      <c r="E22" s="35"/>
      <c r="F22" s="35"/>
      <c r="G22" s="35"/>
    </row>
    <row r="23" spans="2:7" ht="12.75">
      <c r="B23" s="2" t="s">
        <v>18</v>
      </c>
      <c r="D23" s="36">
        <f>+'[1]Cond Inc Sttm-4 Leow'!D32</f>
        <v>-8598.757000000001</v>
      </c>
      <c r="E23" s="36">
        <f>+'[1]Cond Inc Sttm-4 Leow'!E32</f>
        <v>-5237</v>
      </c>
      <c r="F23" s="36">
        <f>+'[1]Cond Inc Sttm-4 Leow'!F32</f>
        <v>-24162.757</v>
      </c>
      <c r="G23" s="36">
        <f>+'[1]Cond Inc Sttm-4 Leow'!G32</f>
        <v>-21606</v>
      </c>
    </row>
    <row r="24" spans="2:7" ht="12.75">
      <c r="B24" s="2" t="s">
        <v>19</v>
      </c>
      <c r="D24" s="35">
        <f>SUM(D21:D23)</f>
        <v>23003.853237263145</v>
      </c>
      <c r="E24" s="35">
        <f>SUM(E21:E23)</f>
        <v>7804</v>
      </c>
      <c r="F24" s="35">
        <f>SUM(F21:F23)</f>
        <v>51273.853237263145</v>
      </c>
      <c r="G24" s="35">
        <f>SUM(G21:G23)</f>
        <v>36727</v>
      </c>
    </row>
    <row r="25" spans="4:7" ht="12.75">
      <c r="D25" s="35"/>
      <c r="E25" s="35"/>
      <c r="F25" s="35"/>
      <c r="G25" s="35"/>
    </row>
    <row r="26" spans="2:7" ht="12.75">
      <c r="B26" s="2" t="s">
        <v>20</v>
      </c>
      <c r="D26" s="36">
        <f>+'[1]Cond Inc Sttm-4 Leow'!D40</f>
        <v>93.49678506136934</v>
      </c>
      <c r="E26" s="36">
        <f>+'[1]Cond Inc Sttm-4 Leow'!E40</f>
        <v>-2747</v>
      </c>
      <c r="F26" s="36">
        <f>+'[1]Cond Inc Sttm-4 Leow'!F40</f>
        <v>2958.4967850613693</v>
      </c>
      <c r="G26" s="36">
        <f>+'[1]Cond Inc Sttm-4 Leow'!G40</f>
        <v>-2234</v>
      </c>
    </row>
    <row r="27" spans="2:7" ht="12.75">
      <c r="B27" s="2" t="s">
        <v>21</v>
      </c>
      <c r="D27" s="38">
        <f>SUM(D24:D26)+1</f>
        <v>23098.350022324514</v>
      </c>
      <c r="E27" s="38">
        <f>SUM(E24:E26)</f>
        <v>5057</v>
      </c>
      <c r="F27" s="38">
        <f>SUM(F24:F26)</f>
        <v>54232.350022324514</v>
      </c>
      <c r="G27" s="38">
        <f>SUM(G24:G26)</f>
        <v>34493</v>
      </c>
    </row>
    <row r="28" spans="4:7" ht="12.75">
      <c r="D28" s="35"/>
      <c r="E28" s="35"/>
      <c r="F28" s="35"/>
      <c r="G28" s="35"/>
    </row>
    <row r="29" spans="2:7" ht="12.75">
      <c r="B29" s="2" t="s">
        <v>155</v>
      </c>
      <c r="D29" s="36">
        <f>292769</f>
        <v>292769</v>
      </c>
      <c r="E29" s="36">
        <f>215290</f>
        <v>215290</v>
      </c>
      <c r="F29" s="36">
        <f>292769</f>
        <v>292769</v>
      </c>
      <c r="G29" s="36">
        <f>215290</f>
        <v>215290</v>
      </c>
    </row>
    <row r="30" spans="2:7" ht="12.75">
      <c r="B30" s="2" t="s">
        <v>22</v>
      </c>
      <c r="D30" s="39">
        <f>+'[1]Cond Inc Sttm-4 Leow'!D43</f>
        <v>7.889274486822203</v>
      </c>
      <c r="E30" s="39">
        <f>+'[1]Cond Inc Sttm-4 Leow'!E43</f>
        <v>2.348924706210228</v>
      </c>
      <c r="F30" s="39">
        <f>+'[1]Cond Inc Sttm-4 Leow'!F43</f>
        <v>18.52399039472528</v>
      </c>
      <c r="G30" s="39">
        <f>+'[1]Cond Inc Sttm-4 Leow'!G43</f>
        <v>16.02164522272284</v>
      </c>
    </row>
    <row r="31" spans="4:7" ht="12.75">
      <c r="D31" s="68"/>
      <c r="E31" s="68"/>
      <c r="F31" s="68"/>
      <c r="G31" s="68"/>
    </row>
    <row r="32" spans="2:7" ht="12.75">
      <c r="B32" s="2" t="s">
        <v>154</v>
      </c>
      <c r="D32" s="36">
        <f>448796</f>
        <v>448796</v>
      </c>
      <c r="E32" s="36">
        <f>0</f>
        <v>0</v>
      </c>
      <c r="F32" s="36">
        <f>448796</f>
        <v>448796</v>
      </c>
      <c r="G32" s="36">
        <f>0</f>
        <v>0</v>
      </c>
    </row>
    <row r="33" spans="2:7" ht="12.75">
      <c r="B33" s="2" t="s">
        <v>153</v>
      </c>
      <c r="D33" s="40">
        <f>'[1]Cond Inc Sttm-4 Leow'!D44</f>
        <v>5.1465101527916985</v>
      </c>
      <c r="E33" s="40">
        <v>0</v>
      </c>
      <c r="F33" s="40">
        <f>'[1]Cond Inc Sttm-4 Leow'!F44</f>
        <v>13.551939000407264</v>
      </c>
      <c r="G33" s="40">
        <v>0</v>
      </c>
    </row>
    <row r="36" ht="12.75">
      <c r="B36" s="13" t="s">
        <v>152</v>
      </c>
    </row>
  </sheetData>
  <sheetProtection sheet="1" objects="1" scenarios="1"/>
  <printOptions/>
  <pageMargins left="0.25" right="0.25" top="0.25" bottom="0.25" header="0.5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40"/>
  <sheetViews>
    <sheetView workbookViewId="0" topLeftCell="A1">
      <selection activeCell="B6" sqref="B6"/>
    </sheetView>
  </sheetViews>
  <sheetFormatPr defaultColWidth="9.140625" defaultRowHeight="12.75"/>
  <cols>
    <col min="1" max="1" width="3.421875" style="69" customWidth="1"/>
    <col min="2" max="2" width="53.7109375" style="96" customWidth="1"/>
    <col min="3" max="3" width="12.8515625" style="0" bestFit="1" customWidth="1"/>
    <col min="5" max="5" width="16.00390625" style="0" customWidth="1"/>
  </cols>
  <sheetData>
    <row r="3" ht="12.75">
      <c r="B3" s="70" t="s">
        <v>162</v>
      </c>
    </row>
    <row r="4" ht="12.75">
      <c r="B4" s="70" t="s">
        <v>163</v>
      </c>
    </row>
    <row r="5" spans="1:3" ht="12.75">
      <c r="A5" s="71"/>
      <c r="B5" s="70" t="s">
        <v>164</v>
      </c>
      <c r="C5" s="72" t="s">
        <v>164</v>
      </c>
    </row>
    <row r="6" spans="1:3" ht="12.75">
      <c r="A6" s="71"/>
      <c r="B6" s="73"/>
      <c r="C6" s="74" t="s">
        <v>165</v>
      </c>
    </row>
    <row r="7" spans="1:3" ht="12.75">
      <c r="A7" s="75"/>
      <c r="B7" s="76"/>
      <c r="C7" s="77" t="s">
        <v>166</v>
      </c>
    </row>
    <row r="8" spans="1:3" ht="12.75">
      <c r="A8" s="75"/>
      <c r="B8" s="76"/>
      <c r="C8" s="77" t="s">
        <v>167</v>
      </c>
    </row>
    <row r="9" spans="1:3" ht="12.75">
      <c r="A9" s="75"/>
      <c r="B9" s="76"/>
      <c r="C9" s="78"/>
    </row>
    <row r="10" spans="1:3" ht="12.75">
      <c r="A10" s="75"/>
      <c r="B10" s="79"/>
      <c r="C10" s="80"/>
    </row>
    <row r="11" spans="1:3" ht="12.75">
      <c r="A11" s="81"/>
      <c r="B11" s="82"/>
      <c r="C11" s="83"/>
    </row>
    <row r="12" spans="1:3" s="84" customFormat="1" ht="12.75">
      <c r="A12" s="81"/>
      <c r="B12" s="82"/>
      <c r="C12" s="77" t="s">
        <v>81</v>
      </c>
    </row>
    <row r="13" spans="1:3" ht="12.75">
      <c r="A13" s="85"/>
      <c r="B13" s="82"/>
      <c r="C13" s="86"/>
    </row>
    <row r="14" spans="1:3" ht="12.75">
      <c r="A14" s="85"/>
      <c r="B14" s="87" t="s">
        <v>11</v>
      </c>
      <c r="C14" s="88">
        <v>1369656.558</v>
      </c>
    </row>
    <row r="15" spans="1:3" ht="12.75">
      <c r="A15" s="85"/>
      <c r="B15" s="87"/>
      <c r="C15" s="88"/>
    </row>
    <row r="16" spans="1:4" ht="12.75">
      <c r="A16" s="85"/>
      <c r="B16" s="87" t="s">
        <v>168</v>
      </c>
      <c r="C16" s="88">
        <v>271775</v>
      </c>
      <c r="D16" s="89" t="s">
        <v>164</v>
      </c>
    </row>
    <row r="17" spans="1:3" ht="12.75">
      <c r="A17" s="85"/>
      <c r="B17" s="87"/>
      <c r="C17" s="88"/>
    </row>
    <row r="18" spans="1:3" ht="12.75">
      <c r="A18" s="85"/>
      <c r="B18" s="87" t="s">
        <v>114</v>
      </c>
      <c r="C18" s="88">
        <v>131038</v>
      </c>
    </row>
    <row r="19" spans="1:3" ht="12.75">
      <c r="A19" s="85"/>
      <c r="B19" s="87"/>
      <c r="C19" s="88"/>
    </row>
    <row r="20" spans="1:4" ht="12.75">
      <c r="A20" s="85"/>
      <c r="B20" s="90" t="s">
        <v>169</v>
      </c>
      <c r="C20" s="91">
        <v>-37835</v>
      </c>
      <c r="D20" s="89" t="s">
        <v>164</v>
      </c>
    </row>
    <row r="21" spans="2:3" ht="12.75">
      <c r="B21" s="92" t="s">
        <v>116</v>
      </c>
      <c r="C21" s="88">
        <f>SUM(C18:C20)</f>
        <v>93203</v>
      </c>
    </row>
    <row r="22" spans="2:3" ht="12.75">
      <c r="B22" s="92"/>
      <c r="C22" s="88"/>
    </row>
    <row r="23" spans="2:3" ht="12.75">
      <c r="B23" s="92" t="s">
        <v>170</v>
      </c>
      <c r="C23" s="88">
        <v>-2068.018</v>
      </c>
    </row>
    <row r="24" spans="2:3" ht="12.75">
      <c r="B24" s="92"/>
      <c r="C24" s="88"/>
    </row>
    <row r="25" spans="1:3" ht="12.75">
      <c r="A25" s="75"/>
      <c r="B25" s="93" t="s">
        <v>171</v>
      </c>
      <c r="C25" s="94">
        <f>+C23+C21</f>
        <v>91134.982</v>
      </c>
    </row>
    <row r="26" ht="12.75">
      <c r="B26" s="87"/>
    </row>
    <row r="27" ht="12.75">
      <c r="B27" s="87"/>
    </row>
    <row r="28" ht="12.75">
      <c r="B28" s="95" t="s">
        <v>172</v>
      </c>
    </row>
    <row r="30" ht="12.75">
      <c r="B30" s="96" t="s">
        <v>173</v>
      </c>
    </row>
    <row r="31" ht="12.75">
      <c r="B31" s="95" t="s">
        <v>174</v>
      </c>
    </row>
    <row r="32" spans="2:45" s="69" customFormat="1" ht="12.75">
      <c r="B32" s="125" t="s">
        <v>175</v>
      </c>
      <c r="C32" s="125"/>
      <c r="D32" s="125"/>
      <c r="E32" s="125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</row>
    <row r="33" spans="2:45" s="69" customFormat="1" ht="12.75">
      <c r="B33" s="125"/>
      <c r="C33" s="125"/>
      <c r="D33" s="125"/>
      <c r="E33" s="125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9"/>
    </row>
    <row r="34" spans="2:45" s="69" customFormat="1" ht="12.75">
      <c r="B34" s="100" t="s">
        <v>176</v>
      </c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9"/>
    </row>
    <row r="35" ht="12.75">
      <c r="B35" s="96" t="s">
        <v>177</v>
      </c>
    </row>
    <row r="36" ht="12.75">
      <c r="B36" s="96" t="s">
        <v>178</v>
      </c>
    </row>
    <row r="39" spans="2:5" ht="12.75">
      <c r="B39" s="126" t="s">
        <v>179</v>
      </c>
      <c r="C39" s="126"/>
      <c r="D39" s="126"/>
      <c r="E39" s="126"/>
    </row>
    <row r="40" spans="2:5" ht="12.75">
      <c r="B40" s="126"/>
      <c r="C40" s="126"/>
      <c r="D40" s="126"/>
      <c r="E40" s="126"/>
    </row>
  </sheetData>
  <mergeCells count="2">
    <mergeCell ref="B32:E33"/>
    <mergeCell ref="B39:E40"/>
  </mergeCells>
  <printOptions/>
  <pageMargins left="0.25" right="0.25" top="0.2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49">
      <selection activeCell="F50" sqref="F50"/>
    </sheetView>
  </sheetViews>
  <sheetFormatPr defaultColWidth="9.140625" defaultRowHeight="12.75"/>
  <cols>
    <col min="1" max="1" width="1.7109375" style="2" customWidth="1"/>
    <col min="2" max="2" width="5.8515625" style="2" customWidth="1"/>
    <col min="3" max="3" width="9.140625" style="2" customWidth="1"/>
    <col min="4" max="4" width="10.57421875" style="2" customWidth="1"/>
    <col min="5" max="5" width="24.28125" style="2" customWidth="1"/>
    <col min="6" max="6" width="14.421875" style="2" customWidth="1"/>
    <col min="7" max="7" width="2.7109375" style="2" customWidth="1"/>
    <col min="8" max="8" width="14.8515625" style="2" customWidth="1"/>
    <col min="9" max="9" width="2.421875" style="2" customWidth="1"/>
    <col min="10" max="16384" width="9.140625" style="2" customWidth="1"/>
  </cols>
  <sheetData>
    <row r="1" spans="1:8" ht="12.75">
      <c r="A1" s="14" t="s">
        <v>0</v>
      </c>
      <c r="H1" s="15"/>
    </row>
    <row r="3" spans="2:9" ht="12.75">
      <c r="B3" s="14" t="s">
        <v>23</v>
      </c>
      <c r="C3" s="15"/>
      <c r="D3" s="15"/>
      <c r="E3" s="15"/>
      <c r="F3" s="16" t="s">
        <v>160</v>
      </c>
      <c r="G3" s="15"/>
      <c r="H3" s="67" t="s">
        <v>159</v>
      </c>
      <c r="I3" s="15"/>
    </row>
    <row r="4" spans="2:9" ht="12.75">
      <c r="B4" s="14" t="s">
        <v>24</v>
      </c>
      <c r="C4" s="15"/>
      <c r="D4" s="15"/>
      <c r="E4" s="15"/>
      <c r="F4" s="16" t="s">
        <v>25</v>
      </c>
      <c r="H4" s="16" t="s">
        <v>26</v>
      </c>
      <c r="I4" s="15"/>
    </row>
    <row r="5" spans="1:9" ht="12.75">
      <c r="A5" s="15"/>
      <c r="B5" s="15"/>
      <c r="C5" s="15"/>
      <c r="D5" s="15"/>
      <c r="E5" s="15"/>
      <c r="F5" s="16" t="s">
        <v>27</v>
      </c>
      <c r="G5" s="16"/>
      <c r="H5" s="16" t="s">
        <v>28</v>
      </c>
      <c r="I5" s="15"/>
    </row>
    <row r="6" spans="1:9" ht="12.75">
      <c r="A6" s="15"/>
      <c r="B6" s="15"/>
      <c r="C6" s="15"/>
      <c r="D6" s="15"/>
      <c r="E6" s="15"/>
      <c r="F6" s="16" t="s">
        <v>29</v>
      </c>
      <c r="G6" s="16"/>
      <c r="H6" s="16" t="s">
        <v>30</v>
      </c>
      <c r="I6" s="15"/>
    </row>
    <row r="7" spans="1:9" ht="12.75">
      <c r="A7" s="15"/>
      <c r="B7" s="15"/>
      <c r="C7" s="15"/>
      <c r="D7" s="15"/>
      <c r="E7" s="15"/>
      <c r="G7" s="16"/>
      <c r="H7" s="16" t="s">
        <v>31</v>
      </c>
      <c r="I7" s="15"/>
    </row>
    <row r="8" spans="1:9" ht="12.75">
      <c r="A8" s="16"/>
      <c r="B8" s="15"/>
      <c r="C8" s="15"/>
      <c r="D8" s="15"/>
      <c r="E8" s="15"/>
      <c r="G8" s="16"/>
      <c r="H8" s="16" t="s">
        <v>32</v>
      </c>
      <c r="I8" s="15"/>
    </row>
    <row r="9" spans="1:9" ht="12.75">
      <c r="A9" s="16"/>
      <c r="B9" s="15"/>
      <c r="C9" s="15"/>
      <c r="D9" s="15"/>
      <c r="E9" s="15"/>
      <c r="F9" s="17" t="s">
        <v>33</v>
      </c>
      <c r="G9" s="18"/>
      <c r="H9" s="17" t="s">
        <v>34</v>
      </c>
      <c r="I9" s="15"/>
    </row>
    <row r="10" spans="1:9" ht="12.75">
      <c r="A10" s="16"/>
      <c r="B10" s="15"/>
      <c r="C10" s="15"/>
      <c r="D10" s="15"/>
      <c r="E10" s="15"/>
      <c r="F10" s="16" t="s">
        <v>35</v>
      </c>
      <c r="G10" s="16"/>
      <c r="H10" s="16" t="s">
        <v>35</v>
      </c>
      <c r="I10" s="15"/>
    </row>
    <row r="11" spans="1:2" ht="12.75">
      <c r="A11" s="19"/>
      <c r="B11" s="15"/>
    </row>
    <row r="12" ht="12.75">
      <c r="A12" s="19"/>
    </row>
    <row r="13" spans="1:9" ht="12.75">
      <c r="A13" s="19"/>
      <c r="B13" s="2" t="s">
        <v>36</v>
      </c>
      <c r="F13" s="41">
        <f>'[1]BSHEET'!G13</f>
        <v>274960.60796453955</v>
      </c>
      <c r="G13" s="41"/>
      <c r="H13" s="41">
        <v>287439</v>
      </c>
      <c r="I13" s="20"/>
    </row>
    <row r="14" spans="1:8" ht="12.75">
      <c r="A14" s="19"/>
      <c r="B14" s="2" t="s">
        <v>37</v>
      </c>
      <c r="F14" s="41">
        <f>'[1]BSHEET'!G14-350000</f>
        <v>878624.6948899999</v>
      </c>
      <c r="G14" s="41"/>
      <c r="H14" s="41">
        <v>556597</v>
      </c>
    </row>
    <row r="15" spans="1:8" ht="12.75">
      <c r="A15" s="19"/>
      <c r="B15" s="2" t="s">
        <v>38</v>
      </c>
      <c r="F15" s="41">
        <f>'[1]BSHEET'!G16</f>
        <v>244269.3803727242</v>
      </c>
      <c r="G15" s="41"/>
      <c r="H15" s="41">
        <v>173228</v>
      </c>
    </row>
    <row r="16" spans="1:8" ht="12.75" hidden="1">
      <c r="A16" s="19"/>
      <c r="B16" s="2" t="s">
        <v>39</v>
      </c>
      <c r="F16" s="41">
        <f>+'[1]BSHEET'!G17</f>
        <v>0.000309999942779541</v>
      </c>
      <c r="G16" s="41"/>
      <c r="H16" s="41">
        <v>0</v>
      </c>
    </row>
    <row r="17" spans="1:8" ht="12.75">
      <c r="A17" s="19"/>
      <c r="B17" s="2" t="s">
        <v>40</v>
      </c>
      <c r="F17" s="42" t="s">
        <v>41</v>
      </c>
      <c r="G17" s="41"/>
      <c r="H17" s="41">
        <f>69077-3370</f>
        <v>65707</v>
      </c>
    </row>
    <row r="18" spans="1:8" ht="12.75">
      <c r="A18" s="19"/>
      <c r="B18" s="2" t="s">
        <v>42</v>
      </c>
      <c r="F18" s="41">
        <f>'[1]BSHEET'!G19</f>
        <v>2706.4658393093187</v>
      </c>
      <c r="G18" s="41"/>
      <c r="H18" s="41">
        <v>6375</v>
      </c>
    </row>
    <row r="19" spans="1:8" ht="12.75">
      <c r="A19" s="19"/>
      <c r="B19" s="2" t="s">
        <v>43</v>
      </c>
      <c r="F19" s="41">
        <f>'[1]BSHEET'!G20</f>
        <v>70502.415</v>
      </c>
      <c r="G19" s="43"/>
      <c r="H19" s="43">
        <v>295378</v>
      </c>
    </row>
    <row r="20" spans="1:8" ht="12.75">
      <c r="A20" s="19"/>
      <c r="B20" s="2" t="s">
        <v>44</v>
      </c>
      <c r="F20" s="41">
        <f>'[1]BSHEET'!G22</f>
        <v>4611.994</v>
      </c>
      <c r="G20" s="43"/>
      <c r="H20" s="44">
        <v>5768</v>
      </c>
    </row>
    <row r="21" spans="1:8" ht="12.75">
      <c r="A21" s="19"/>
      <c r="F21" s="45">
        <f>SUM(F13:F20)</f>
        <v>1475675.558376573</v>
      </c>
      <c r="G21" s="41"/>
      <c r="H21" s="45">
        <f>SUM(H13:H20)</f>
        <v>1390492</v>
      </c>
    </row>
    <row r="22" spans="1:8" ht="12.75">
      <c r="A22" s="19"/>
      <c r="F22" s="41"/>
      <c r="G22" s="41"/>
      <c r="H22" s="41"/>
    </row>
    <row r="23" spans="1:8" ht="12.75">
      <c r="A23" s="19"/>
      <c r="B23" s="2" t="s">
        <v>45</v>
      </c>
      <c r="F23" s="41"/>
      <c r="G23" s="41"/>
      <c r="H23" s="41"/>
    </row>
    <row r="24" spans="1:8" ht="12.75">
      <c r="A24" s="19"/>
      <c r="B24" s="15"/>
      <c r="C24" s="2" t="s">
        <v>46</v>
      </c>
      <c r="F24" s="37">
        <f>+'[1]BSHEET'!G26+350000</f>
        <v>1719663.1122149792</v>
      </c>
      <c r="G24" s="41"/>
      <c r="H24" s="37">
        <v>909426</v>
      </c>
    </row>
    <row r="25" spans="1:8" ht="12.75">
      <c r="A25" s="19"/>
      <c r="B25" s="15"/>
      <c r="C25" s="2" t="s">
        <v>47</v>
      </c>
      <c r="F25" s="35">
        <f>+'[1]BSHEET'!G27</f>
        <v>86073.8579439</v>
      </c>
      <c r="G25" s="41"/>
      <c r="H25" s="35">
        <v>36711</v>
      </c>
    </row>
    <row r="26" spans="1:10" ht="12.75">
      <c r="A26" s="19"/>
      <c r="B26" s="15"/>
      <c r="C26" s="2" t="s">
        <v>48</v>
      </c>
      <c r="F26" s="35">
        <f>+'[1]BSHEET'!G29+'[1]BSHEET'!G30+'[1]BSHEET'!G28-SUM(168545714/1000)</f>
        <v>482422.3295417001</v>
      </c>
      <c r="G26" s="41"/>
      <c r="H26" s="35">
        <f>12412+218943+117608</f>
        <v>348963</v>
      </c>
      <c r="J26" s="20"/>
    </row>
    <row r="27" spans="1:8" ht="12.75">
      <c r="A27" s="19"/>
      <c r="C27" s="2" t="s">
        <v>49</v>
      </c>
      <c r="F27" s="35">
        <f>+'[1]BSHEET'!G31</f>
        <v>308265.08110179997</v>
      </c>
      <c r="G27" s="41"/>
      <c r="H27" s="35">
        <v>198771</v>
      </c>
    </row>
    <row r="28" spans="1:10" ht="12.75">
      <c r="A28" s="19"/>
      <c r="C28" s="2" t="s">
        <v>50</v>
      </c>
      <c r="E28" s="20"/>
      <c r="F28" s="38">
        <f>SUM(F24:F27)</f>
        <v>2596424.380802379</v>
      </c>
      <c r="G28" s="43"/>
      <c r="H28" s="38">
        <f>SUM(H24:H27)</f>
        <v>1493871</v>
      </c>
      <c r="I28" s="20"/>
      <c r="J28" s="20"/>
    </row>
    <row r="29" spans="1:8" ht="12.75">
      <c r="A29" s="19"/>
      <c r="F29" s="37"/>
      <c r="G29" s="41"/>
      <c r="H29" s="37"/>
    </row>
    <row r="30" spans="1:8" ht="12.75">
      <c r="A30" s="19"/>
      <c r="B30" s="2" t="s">
        <v>51</v>
      </c>
      <c r="F30" s="35"/>
      <c r="G30" s="41"/>
      <c r="H30" s="35"/>
    </row>
    <row r="31" spans="1:8" ht="12.75">
      <c r="A31" s="19"/>
      <c r="C31" s="2" t="s">
        <v>52</v>
      </c>
      <c r="F31" s="35">
        <f>+'[1]BSHEET'!G37</f>
        <v>416667.9155762</v>
      </c>
      <c r="G31" s="41"/>
      <c r="H31" s="35">
        <v>244039</v>
      </c>
    </row>
    <row r="32" spans="1:8" ht="12.75">
      <c r="A32" s="19"/>
      <c r="C32" s="2" t="s">
        <v>53</v>
      </c>
      <c r="F32" s="35">
        <f>+'[1]BSHEET'!G38+'[1]BSHEET'!G39+'[1]BSHEET'!G40+'[1]BSHEET'!G36-F33-F34-F35-SUM(168545714/1000)</f>
        <v>610527.004311365</v>
      </c>
      <c r="G32" s="41"/>
      <c r="H32" s="35">
        <f>4672+5587+172999+371586-H33-H35</f>
        <v>131656</v>
      </c>
    </row>
    <row r="33" spans="1:8" ht="12.75">
      <c r="A33" s="19"/>
      <c r="C33" s="2" t="s">
        <v>54</v>
      </c>
      <c r="F33" s="35">
        <f>154276+(26261)</f>
        <v>180537</v>
      </c>
      <c r="G33" s="41"/>
      <c r="H33" s="35">
        <f>239120+(41343)</f>
        <v>280463</v>
      </c>
    </row>
    <row r="34" spans="1:8" ht="12.75">
      <c r="A34" s="19"/>
      <c r="C34" s="2" t="s">
        <v>55</v>
      </c>
      <c r="F34" s="35">
        <f>322260</f>
        <v>322260</v>
      </c>
      <c r="G34" s="41"/>
      <c r="H34" s="35">
        <f>0</f>
        <v>0</v>
      </c>
    </row>
    <row r="35" spans="1:8" ht="12.75">
      <c r="A35" s="19"/>
      <c r="C35" s="2" t="s">
        <v>56</v>
      </c>
      <c r="F35" s="35">
        <f>('[2]Consol'!$EP$203/1000)-180537-322260-SUM(168545714/1000)</f>
        <v>223134.25523149993</v>
      </c>
      <c r="G35" s="41"/>
      <c r="H35" s="35">
        <f>(371586+4672+5587)-239120</f>
        <v>142725</v>
      </c>
    </row>
    <row r="36" spans="1:8" ht="12.75">
      <c r="A36" s="19"/>
      <c r="C36" s="2" t="s">
        <v>18</v>
      </c>
      <c r="F36" s="35">
        <f>+'[1]BSHEET'!G41</f>
        <v>186473.215</v>
      </c>
      <c r="G36" s="41"/>
      <c r="H36" s="35">
        <v>72212</v>
      </c>
    </row>
    <row r="37" spans="1:8" ht="12.75" hidden="1">
      <c r="A37" s="19"/>
      <c r="C37" s="2" t="s">
        <v>57</v>
      </c>
      <c r="F37" s="35">
        <v>0</v>
      </c>
      <c r="G37" s="41"/>
      <c r="H37" s="35">
        <v>0</v>
      </c>
    </row>
    <row r="38" spans="1:8" ht="12.75">
      <c r="A38" s="19"/>
      <c r="C38" s="2" t="s">
        <v>58</v>
      </c>
      <c r="F38" s="38">
        <f>SUM(F31:F37)</f>
        <v>1939599.390119065</v>
      </c>
      <c r="G38" s="43"/>
      <c r="H38" s="38">
        <f>SUM(H31:H37)</f>
        <v>871095</v>
      </c>
    </row>
    <row r="39" spans="1:8" ht="12.75">
      <c r="A39" s="19"/>
      <c r="F39" s="43"/>
      <c r="G39" s="43"/>
      <c r="H39" s="43"/>
    </row>
    <row r="40" spans="1:8" ht="12.75">
      <c r="A40" s="19"/>
      <c r="B40" s="2" t="s">
        <v>59</v>
      </c>
      <c r="C40" s="15"/>
      <c r="D40" s="15"/>
      <c r="F40" s="41">
        <f>F28-F38</f>
        <v>656824.9906833139</v>
      </c>
      <c r="G40" s="43"/>
      <c r="H40" s="41">
        <f>H28-H38</f>
        <v>622776</v>
      </c>
    </row>
    <row r="41" spans="1:8" ht="12.75">
      <c r="A41" s="19"/>
      <c r="B41" s="15"/>
      <c r="C41" s="15"/>
      <c r="D41" s="15"/>
      <c r="F41" s="41"/>
      <c r="G41" s="43"/>
      <c r="H41" s="41"/>
    </row>
    <row r="42" spans="1:8" s="22" customFormat="1" ht="15.75" thickBot="1">
      <c r="A42" s="21"/>
      <c r="B42" s="22" t="s">
        <v>60</v>
      </c>
      <c r="F42" s="46">
        <f>+F21+F40</f>
        <v>2132500.549059887</v>
      </c>
      <c r="G42" s="47"/>
      <c r="H42" s="46">
        <f>+H21+H40</f>
        <v>2013268</v>
      </c>
    </row>
    <row r="43" spans="1:8" ht="12.75">
      <c r="A43" s="19"/>
      <c r="F43" s="41"/>
      <c r="G43" s="41"/>
      <c r="H43" s="41"/>
    </row>
    <row r="44" spans="1:8" ht="12.75">
      <c r="A44" s="19"/>
      <c r="F44" s="41"/>
      <c r="G44" s="41"/>
      <c r="H44" s="41"/>
    </row>
    <row r="45" spans="1:8" ht="12.75">
      <c r="A45" s="19"/>
      <c r="B45" s="2" t="s">
        <v>61</v>
      </c>
      <c r="F45" s="41"/>
      <c r="G45" s="41"/>
      <c r="H45" s="41"/>
    </row>
    <row r="46" spans="1:8" ht="12.75">
      <c r="A46" s="19"/>
      <c r="F46" s="41"/>
      <c r="G46" s="41"/>
      <c r="H46" s="41"/>
    </row>
    <row r="47" spans="1:8" ht="12.75">
      <c r="A47" s="19"/>
      <c r="B47" s="2" t="s">
        <v>62</v>
      </c>
      <c r="F47" s="41">
        <f>SUM('[1]BSHEET'!G52)-F48</f>
        <v>548746.88</v>
      </c>
      <c r="G47" s="41"/>
      <c r="H47" s="41">
        <v>215300</v>
      </c>
    </row>
    <row r="48" spans="1:8" ht="12.75">
      <c r="A48" s="19"/>
      <c r="B48" s="2" t="s">
        <v>63</v>
      </c>
      <c r="F48" s="44">
        <f>'[2]Consol'!$EP$245/1000</f>
        <v>59166.798</v>
      </c>
      <c r="G48" s="41"/>
      <c r="H48" s="44">
        <f>0</f>
        <v>0</v>
      </c>
    </row>
    <row r="49" spans="1:8" ht="12.75">
      <c r="A49" s="19"/>
      <c r="F49" s="41">
        <f>SUM(F47:F48)</f>
        <v>607913.678</v>
      </c>
      <c r="G49" s="41"/>
      <c r="H49" s="41">
        <f>SUM(H47:H48)</f>
        <v>215300</v>
      </c>
    </row>
    <row r="50" spans="1:8" ht="12.75">
      <c r="A50" s="19"/>
      <c r="B50" s="2" t="s">
        <v>64</v>
      </c>
      <c r="F50" s="44">
        <f>'[1]BSHEET'!G60</f>
        <v>-20</v>
      </c>
      <c r="G50" s="41"/>
      <c r="H50" s="44">
        <f>-120</f>
        <v>-120</v>
      </c>
    </row>
    <row r="51" spans="1:8" ht="12.75">
      <c r="A51" s="19"/>
      <c r="F51" s="41">
        <f>SUM(F49:F50)</f>
        <v>607893.678</v>
      </c>
      <c r="G51" s="41"/>
      <c r="H51" s="41">
        <f>SUM(H49:H50)</f>
        <v>215180</v>
      </c>
    </row>
    <row r="52" spans="1:8" ht="12.75">
      <c r="A52" s="19"/>
      <c r="B52" s="2" t="s">
        <v>65</v>
      </c>
      <c r="F52" s="44">
        <f>SUM('[1]BSHEET'!G54:G55,'[1]BSHEET'!G57:G58)</f>
        <v>374137.51315058896</v>
      </c>
      <c r="G52" s="41"/>
      <c r="H52" s="44">
        <f>158400+11782+11901+177874</f>
        <v>359957</v>
      </c>
    </row>
    <row r="53" spans="1:8" s="22" customFormat="1" ht="15">
      <c r="A53" s="21"/>
      <c r="B53" s="22" t="s">
        <v>66</v>
      </c>
      <c r="E53" s="23"/>
      <c r="F53" s="48">
        <f>SUM(F51:F52)</f>
        <v>982031.1911505889</v>
      </c>
      <c r="G53" s="48"/>
      <c r="H53" s="48">
        <f>SUM(H51:H52)</f>
        <v>575137</v>
      </c>
    </row>
    <row r="54" spans="1:8" ht="12.75">
      <c r="A54" s="19"/>
      <c r="E54" s="20"/>
      <c r="F54" s="41"/>
      <c r="G54" s="41"/>
      <c r="H54" s="41"/>
    </row>
    <row r="55" spans="1:8" ht="12.75">
      <c r="A55" s="19"/>
      <c r="B55" s="2" t="s">
        <v>67</v>
      </c>
      <c r="F55" s="43">
        <f>+'[1]BSHEET'!G64</f>
        <v>11304.744218283668</v>
      </c>
      <c r="G55" s="43"/>
      <c r="H55" s="43">
        <f>25347-3370</f>
        <v>21977</v>
      </c>
    </row>
    <row r="56" spans="1:8" ht="12.75">
      <c r="A56" s="19"/>
      <c r="F56" s="43"/>
      <c r="G56" s="43"/>
      <c r="H56" s="43"/>
    </row>
    <row r="57" spans="1:8" ht="12.75">
      <c r="A57" s="19"/>
      <c r="B57" s="2" t="s">
        <v>68</v>
      </c>
      <c r="F57" s="43"/>
      <c r="G57" s="43"/>
      <c r="H57" s="43"/>
    </row>
    <row r="58" spans="1:8" ht="12.75">
      <c r="A58" s="19"/>
      <c r="C58" s="2" t="s">
        <v>69</v>
      </c>
      <c r="F58" s="43">
        <f>'[1]BSHEET'!G56</f>
        <v>35665.776</v>
      </c>
      <c r="G58" s="43"/>
      <c r="H58" s="43">
        <f>0</f>
        <v>0</v>
      </c>
    </row>
    <row r="59" spans="1:8" ht="12.75">
      <c r="A59" s="19"/>
      <c r="C59" s="2" t="s">
        <v>70</v>
      </c>
      <c r="F59" s="43">
        <f>+'[1]BSHEET'!G66+'[1]BSHEET'!G67+'[1]BSHEET'!G68</f>
        <v>353522.244</v>
      </c>
      <c r="G59" s="41"/>
      <c r="H59" s="43">
        <f>34045+110000+900000</f>
        <v>1044045</v>
      </c>
    </row>
    <row r="60" spans="1:8" ht="12.75">
      <c r="A60" s="19"/>
      <c r="C60" s="2" t="s">
        <v>71</v>
      </c>
      <c r="F60" s="43">
        <f>372965</f>
        <v>372965</v>
      </c>
      <c r="G60" s="41"/>
      <c r="H60" s="43">
        <f>0</f>
        <v>0</v>
      </c>
    </row>
    <row r="61" spans="1:8" ht="12.75">
      <c r="A61" s="19"/>
      <c r="C61" s="2" t="s">
        <v>54</v>
      </c>
      <c r="F61" s="43">
        <f>(-'[2]Consol'!$EN$640+9634834)/1000</f>
        <v>351834.834</v>
      </c>
      <c r="G61" s="41"/>
      <c r="H61" s="43">
        <f>352200</f>
        <v>352200</v>
      </c>
    </row>
    <row r="62" spans="1:8" ht="12.75">
      <c r="A62" s="19"/>
      <c r="C62" s="2" t="s">
        <v>72</v>
      </c>
      <c r="F62" s="43">
        <f>+'[1]BSHEET'!G69+'[1]BSHEET'!G70-F60-F61</f>
        <v>25176.76049220556</v>
      </c>
      <c r="G62" s="41"/>
      <c r="H62" s="43">
        <f>(368159-H61)+3950</f>
        <v>19909</v>
      </c>
    </row>
    <row r="63" spans="1:8" ht="12.75">
      <c r="A63" s="19"/>
      <c r="F63" s="43"/>
      <c r="G63" s="41"/>
      <c r="H63" s="41"/>
    </row>
    <row r="64" spans="1:8" s="22" customFormat="1" ht="15.75" thickBot="1">
      <c r="A64" s="21"/>
      <c r="B64" s="22" t="s">
        <v>73</v>
      </c>
      <c r="F64" s="46">
        <f>SUM(F53:F62)</f>
        <v>2132500.549861078</v>
      </c>
      <c r="G64" s="47"/>
      <c r="H64" s="46">
        <f>SUM(H53:H62)</f>
        <v>2013268</v>
      </c>
    </row>
    <row r="65" spans="1:8" ht="12.75" hidden="1">
      <c r="A65" s="19"/>
      <c r="F65" s="41">
        <f>+F42-F64</f>
        <v>-0.0008011911995708942</v>
      </c>
      <c r="G65" s="43"/>
      <c r="H65" s="41">
        <f>+H42-H64</f>
        <v>0</v>
      </c>
    </row>
    <row r="66" spans="6:8" ht="12.75">
      <c r="F66" s="49"/>
      <c r="G66" s="49"/>
      <c r="H66" s="49"/>
    </row>
    <row r="67" spans="2:8" ht="12.75">
      <c r="B67" s="2" t="s">
        <v>74</v>
      </c>
      <c r="C67" s="15"/>
      <c r="D67" s="15"/>
      <c r="E67" s="15"/>
      <c r="F67" s="50"/>
      <c r="G67" s="50"/>
      <c r="H67" s="50"/>
    </row>
    <row r="68" spans="2:8" ht="13.5" thickBot="1">
      <c r="B68" s="2" t="s">
        <v>75</v>
      </c>
      <c r="F68" s="51">
        <f>(+F53-F18-F48)/548747</f>
        <v>1.6768345472709276</v>
      </c>
      <c r="G68" s="52"/>
      <c r="H68" s="51">
        <f>(+H53-H18+120)/H47</f>
        <v>2.642275894101254</v>
      </c>
    </row>
    <row r="69" spans="2:7" ht="13.5" hidden="1" thickTop="1">
      <c r="B69" s="2" t="s">
        <v>76</v>
      </c>
      <c r="G69" s="26"/>
    </row>
    <row r="70" spans="2:8" ht="14.25" hidden="1" thickBot="1" thickTop="1">
      <c r="B70" s="2" t="s">
        <v>77</v>
      </c>
      <c r="F70" s="24">
        <f>(+F53-F18)/(+F47-212)</f>
        <v>1.7853463125467604</v>
      </c>
      <c r="G70" s="25"/>
      <c r="H70" s="24">
        <f>(+H53-H18)/(+H47-142)</f>
        <v>2.6434620139618326</v>
      </c>
    </row>
    <row r="71" ht="13.5" thickTop="1"/>
    <row r="72" spans="2:7" ht="12.75">
      <c r="B72" s="2" t="s">
        <v>161</v>
      </c>
      <c r="F72" s="27"/>
      <c r="G72" s="27"/>
    </row>
    <row r="74" spans="2:3" ht="12.75">
      <c r="B74" s="66" t="s">
        <v>160</v>
      </c>
      <c r="C74" s="2" t="s">
        <v>78</v>
      </c>
    </row>
    <row r="75" ht="12.75">
      <c r="C75" s="2" t="s">
        <v>79</v>
      </c>
    </row>
    <row r="77" spans="2:4" ht="12.75">
      <c r="B77" s="66" t="s">
        <v>159</v>
      </c>
      <c r="C77" s="28" t="s">
        <v>158</v>
      </c>
      <c r="D77" s="28"/>
    </row>
    <row r="78" spans="3:4" ht="12.75">
      <c r="C78" s="28" t="s">
        <v>157</v>
      </c>
      <c r="D78" s="28"/>
    </row>
  </sheetData>
  <sheetProtection sheet="1" objects="1" scenarios="1"/>
  <printOptions horizontalCentered="1"/>
  <pageMargins left="0.25" right="0.25" top="0.25" bottom="0.25" header="0.5" footer="0.5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E1">
      <selection activeCell="H11" sqref="H11"/>
    </sheetView>
  </sheetViews>
  <sheetFormatPr defaultColWidth="9.140625" defaultRowHeight="12.75"/>
  <cols>
    <col min="1" max="1" width="1.7109375" style="28" customWidth="1"/>
    <col min="2" max="2" width="62.00390625" style="28" customWidth="1"/>
    <col min="3" max="9" width="16.7109375" style="111" customWidth="1"/>
    <col min="10" max="11" width="9.140625" style="28" customWidth="1"/>
    <col min="12" max="13" width="11.28125" style="28" customWidth="1"/>
    <col min="14" max="16384" width="9.140625" style="28" customWidth="1"/>
  </cols>
  <sheetData>
    <row r="1" ht="12.75">
      <c r="A1" s="14" t="str">
        <f>+'[3]Condensed Inc Sttm-TCB(annon)'!A1</f>
        <v>TALAM CORPORATION BERHAD (1120-H)</v>
      </c>
    </row>
    <row r="3" ht="12.75">
      <c r="B3" s="14" t="s">
        <v>206</v>
      </c>
    </row>
    <row r="4" ht="12.75">
      <c r="B4" s="14" t="s">
        <v>2</v>
      </c>
    </row>
    <row r="7" spans="3:8" ht="12.75">
      <c r="C7" s="117" t="s">
        <v>205</v>
      </c>
      <c r="D7" s="117" t="s">
        <v>204</v>
      </c>
      <c r="E7" s="117" t="s">
        <v>203</v>
      </c>
      <c r="F7" s="117" t="s">
        <v>202</v>
      </c>
      <c r="G7" s="117" t="s">
        <v>202</v>
      </c>
      <c r="H7" s="117" t="s">
        <v>201</v>
      </c>
    </row>
    <row r="8" spans="2:9" ht="12.75">
      <c r="B8" s="114" t="s">
        <v>200</v>
      </c>
      <c r="C8" s="119" t="s">
        <v>199</v>
      </c>
      <c r="D8" s="119" t="s">
        <v>199</v>
      </c>
      <c r="E8" s="119" t="s">
        <v>198</v>
      </c>
      <c r="F8" s="119" t="s">
        <v>197</v>
      </c>
      <c r="G8" s="119" t="s">
        <v>196</v>
      </c>
      <c r="H8" s="119" t="s">
        <v>195</v>
      </c>
      <c r="I8" s="119" t="s">
        <v>194</v>
      </c>
    </row>
    <row r="9" spans="2:12" ht="12.75">
      <c r="B9" s="118"/>
      <c r="C9" s="117" t="s">
        <v>81</v>
      </c>
      <c r="D9" s="117" t="s">
        <v>81</v>
      </c>
      <c r="E9" s="117" t="s">
        <v>81</v>
      </c>
      <c r="F9" s="117" t="s">
        <v>81</v>
      </c>
      <c r="G9" s="117" t="s">
        <v>81</v>
      </c>
      <c r="H9" s="117" t="s">
        <v>81</v>
      </c>
      <c r="I9" s="117" t="s">
        <v>81</v>
      </c>
      <c r="L9" s="116"/>
    </row>
    <row r="11" spans="2:9" ht="12.75">
      <c r="B11" s="28" t="s">
        <v>186</v>
      </c>
      <c r="C11" s="120">
        <f>215300</f>
        <v>215300</v>
      </c>
      <c r="D11" s="120">
        <f>0</f>
        <v>0</v>
      </c>
      <c r="E11" s="120">
        <f>-120</f>
        <v>-120</v>
      </c>
      <c r="F11" s="120">
        <f>182083</f>
        <v>182083</v>
      </c>
      <c r="G11" s="120">
        <f>G42</f>
        <v>0</v>
      </c>
      <c r="H11" s="120">
        <f>177874</f>
        <v>177874</v>
      </c>
      <c r="I11" s="120">
        <f>SUM(C11:H11)</f>
        <v>575137</v>
      </c>
    </row>
    <row r="12" spans="3:9" ht="12.75">
      <c r="C12" s="120"/>
      <c r="D12" s="120"/>
      <c r="E12" s="120"/>
      <c r="F12" s="120"/>
      <c r="G12" s="120"/>
      <c r="H12" s="120"/>
      <c r="I12" s="120"/>
    </row>
    <row r="13" spans="2:9" ht="12.75">
      <c r="B13" s="28" t="s">
        <v>185</v>
      </c>
      <c r="C13" s="121">
        <f>333447</f>
        <v>333447</v>
      </c>
      <c r="D13" s="121">
        <f>0</f>
        <v>0</v>
      </c>
      <c r="E13" s="120">
        <f>0</f>
        <v>0</v>
      </c>
      <c r="F13" s="120">
        <f>0</f>
        <v>0</v>
      </c>
      <c r="G13" s="120">
        <f>0</f>
        <v>0</v>
      </c>
      <c r="H13" s="120">
        <f>0</f>
        <v>0</v>
      </c>
      <c r="I13" s="120">
        <f>SUM(C13:H13)</f>
        <v>333447</v>
      </c>
    </row>
    <row r="14" spans="3:9" ht="12.75">
      <c r="C14" s="120"/>
      <c r="D14" s="120"/>
      <c r="E14" s="120"/>
      <c r="F14" s="120"/>
      <c r="G14" s="120"/>
      <c r="H14" s="120"/>
      <c r="I14" s="120"/>
    </row>
    <row r="15" spans="2:9" ht="12.75">
      <c r="B15" s="28" t="s">
        <v>193</v>
      </c>
      <c r="C15" s="120">
        <f>0</f>
        <v>0</v>
      </c>
      <c r="D15" s="120">
        <f>59187</f>
        <v>59187</v>
      </c>
      <c r="E15" s="120">
        <f>0</f>
        <v>0</v>
      </c>
      <c r="F15" s="120">
        <f>0</f>
        <v>0</v>
      </c>
      <c r="G15" s="120">
        <f>0</f>
        <v>0</v>
      </c>
      <c r="H15" s="120">
        <f>0</f>
        <v>0</v>
      </c>
      <c r="I15" s="120">
        <f>SUM(D15:H15)</f>
        <v>59187</v>
      </c>
    </row>
    <row r="16" spans="3:9" ht="12.75">
      <c r="C16" s="120"/>
      <c r="D16" s="120"/>
      <c r="E16" s="120"/>
      <c r="F16" s="120"/>
      <c r="G16" s="120"/>
      <c r="H16" s="120"/>
      <c r="I16" s="120"/>
    </row>
    <row r="17" spans="2:9" ht="12.75">
      <c r="B17" s="28" t="s">
        <v>192</v>
      </c>
      <c r="C17" s="120">
        <f>0</f>
        <v>0</v>
      </c>
      <c r="D17" s="120">
        <f>-20</f>
        <v>-20</v>
      </c>
      <c r="E17" s="120"/>
      <c r="F17" s="120"/>
      <c r="G17" s="120"/>
      <c r="H17" s="120"/>
      <c r="I17" s="120">
        <f>SUM(D17:H17)</f>
        <v>-20</v>
      </c>
    </row>
    <row r="18" spans="3:9" ht="12.75">
      <c r="C18" s="120"/>
      <c r="D18" s="120"/>
      <c r="E18" s="120"/>
      <c r="F18" s="120"/>
      <c r="G18" s="120"/>
      <c r="H18" s="120"/>
      <c r="I18" s="120"/>
    </row>
    <row r="19" spans="2:9" ht="12.75">
      <c r="B19" s="28" t="s">
        <v>184</v>
      </c>
      <c r="C19" s="120">
        <f>0</f>
        <v>0</v>
      </c>
      <c r="D19" s="120">
        <f>0</f>
        <v>0</v>
      </c>
      <c r="E19" s="120">
        <f>-57-20+3</f>
        <v>-74</v>
      </c>
      <c r="F19" s="120">
        <f>-3</f>
        <v>-3</v>
      </c>
      <c r="G19" s="120">
        <f>0</f>
        <v>0</v>
      </c>
      <c r="H19" s="120">
        <f>0</f>
        <v>0</v>
      </c>
      <c r="I19" s="120">
        <f>SUM(C19:H19)</f>
        <v>-77</v>
      </c>
    </row>
    <row r="20" spans="3:9" ht="12.75">
      <c r="C20" s="120"/>
      <c r="D20" s="120"/>
      <c r="E20" s="120"/>
      <c r="F20" s="120"/>
      <c r="G20" s="120"/>
      <c r="H20" s="120"/>
      <c r="I20" s="120"/>
    </row>
    <row r="21" spans="2:9" ht="12.75">
      <c r="B21" s="28" t="s">
        <v>191</v>
      </c>
      <c r="C21" s="120">
        <f>0</f>
        <v>0</v>
      </c>
      <c r="D21" s="120">
        <f>0</f>
        <v>0</v>
      </c>
      <c r="E21" s="120">
        <f>177-3</f>
        <v>174</v>
      </c>
      <c r="F21" s="120">
        <f>127</f>
        <v>127</v>
      </c>
      <c r="G21" s="120">
        <f>0</f>
        <v>0</v>
      </c>
      <c r="H21" s="120">
        <f>0</f>
        <v>0</v>
      </c>
      <c r="I21" s="120">
        <f>SUM(C21:H21)</f>
        <v>301</v>
      </c>
    </row>
    <row r="22" spans="3:9" ht="12.75">
      <c r="C22" s="120"/>
      <c r="D22" s="120"/>
      <c r="E22" s="120"/>
      <c r="F22" s="120"/>
      <c r="G22" s="120"/>
      <c r="H22" s="120"/>
      <c r="I22" s="120"/>
    </row>
    <row r="23" spans="2:9" ht="12.75">
      <c r="B23" s="28" t="s">
        <v>183</v>
      </c>
      <c r="C23" s="120">
        <f>0</f>
        <v>0</v>
      </c>
      <c r="D23" s="120">
        <f>0</f>
        <v>0</v>
      </c>
      <c r="E23" s="120">
        <f>0</f>
        <v>0</v>
      </c>
      <c r="F23" s="121">
        <f>'[1]BSHEET'!K55</f>
        <v>-3.6665906619982707</v>
      </c>
      <c r="G23" s="120">
        <f>0</f>
        <v>0</v>
      </c>
      <c r="H23" s="120">
        <f>0</f>
        <v>0</v>
      </c>
      <c r="I23" s="120">
        <f>SUM(C23:H23)</f>
        <v>-3.6665906619982707</v>
      </c>
    </row>
    <row r="24" spans="3:9" ht="12.75">
      <c r="C24" s="120"/>
      <c r="D24" s="120"/>
      <c r="E24" s="120"/>
      <c r="F24" s="121"/>
      <c r="G24" s="120"/>
      <c r="H24" s="120"/>
      <c r="I24" s="120"/>
    </row>
    <row r="25" spans="2:9" ht="12.75">
      <c r="B25" s="28" t="s">
        <v>21</v>
      </c>
      <c r="C25" s="122">
        <f>0</f>
        <v>0</v>
      </c>
      <c r="D25" s="122">
        <f>0</f>
        <v>0</v>
      </c>
      <c r="E25" s="122">
        <f>0</f>
        <v>0</v>
      </c>
      <c r="F25" s="122">
        <f>0</f>
        <v>0</v>
      </c>
      <c r="G25" s="122">
        <f>0</f>
        <v>0</v>
      </c>
      <c r="H25" s="122">
        <f>'[1]Condensed Inc Sttm-TCB(annon)'!F27</f>
        <v>54232.350022324514</v>
      </c>
      <c r="I25" s="122">
        <f>SUM(C25:H25)</f>
        <v>54232.350022324514</v>
      </c>
    </row>
    <row r="26" spans="3:9" ht="12.75">
      <c r="C26" s="121">
        <f aca="true" t="shared" si="0" ref="C26:I26">SUM(C11:C25)</f>
        <v>548747</v>
      </c>
      <c r="D26" s="121">
        <f t="shared" si="0"/>
        <v>59167</v>
      </c>
      <c r="E26" s="121">
        <f t="shared" si="0"/>
        <v>-20</v>
      </c>
      <c r="F26" s="121">
        <f t="shared" si="0"/>
        <v>182203.333409338</v>
      </c>
      <c r="G26" s="121">
        <f t="shared" si="0"/>
        <v>0</v>
      </c>
      <c r="H26" s="121">
        <f t="shared" si="0"/>
        <v>232106.3500223245</v>
      </c>
      <c r="I26" s="121">
        <f t="shared" si="0"/>
        <v>1022203.6834316625</v>
      </c>
    </row>
    <row r="27" spans="2:9" ht="12.75">
      <c r="B27" s="28" t="s">
        <v>190</v>
      </c>
      <c r="C27" s="121"/>
      <c r="D27" s="121"/>
      <c r="E27" s="121"/>
      <c r="F27" s="123"/>
      <c r="G27" s="123"/>
      <c r="H27" s="121"/>
      <c r="I27" s="121"/>
    </row>
    <row r="28" spans="2:9" ht="12.75">
      <c r="B28" s="115" t="s">
        <v>189</v>
      </c>
      <c r="C28" s="121">
        <f>0</f>
        <v>0</v>
      </c>
      <c r="D28" s="121">
        <f>0</f>
        <v>0</v>
      </c>
      <c r="E28" s="121">
        <f>0</f>
        <v>0</v>
      </c>
      <c r="F28" s="121">
        <f>-33851</f>
        <v>-33851</v>
      </c>
      <c r="G28" s="121">
        <f>0</f>
        <v>0</v>
      </c>
      <c r="H28" s="121">
        <f>0</f>
        <v>0</v>
      </c>
      <c r="I28" s="121">
        <f>SUM(C28:H28)</f>
        <v>-33851</v>
      </c>
    </row>
    <row r="29" spans="2:9" ht="12.75">
      <c r="B29" s="115" t="s">
        <v>188</v>
      </c>
      <c r="C29" s="121">
        <f>0</f>
        <v>0</v>
      </c>
      <c r="D29" s="121">
        <f>0</f>
        <v>0</v>
      </c>
      <c r="E29" s="121">
        <f>0</f>
        <v>0</v>
      </c>
      <c r="F29" s="121">
        <f>0</f>
        <v>0</v>
      </c>
      <c r="G29" s="121">
        <f>0</f>
        <v>0</v>
      </c>
      <c r="H29" s="121">
        <f>(-125915/1000)+1</f>
        <v>-124.915</v>
      </c>
      <c r="I29" s="121">
        <f>SUM(C29:H29)</f>
        <v>-124.915</v>
      </c>
    </row>
    <row r="30" spans="2:9" ht="12.75">
      <c r="B30" s="28" t="s">
        <v>182</v>
      </c>
      <c r="C30" s="121">
        <f>0</f>
        <v>0</v>
      </c>
      <c r="D30" s="121">
        <f>0</f>
        <v>0</v>
      </c>
      <c r="E30" s="121">
        <f>0</f>
        <v>0</v>
      </c>
      <c r="F30" s="121">
        <f>0</f>
        <v>0</v>
      </c>
      <c r="G30" s="121">
        <f>0</f>
        <v>0</v>
      </c>
      <c r="H30" s="121">
        <f>-6197</f>
        <v>-6197</v>
      </c>
      <c r="I30" s="121">
        <f>SUM(C30:H30)</f>
        <v>-6197</v>
      </c>
    </row>
    <row r="31" spans="2:10" ht="12.75">
      <c r="B31" s="28" t="s">
        <v>181</v>
      </c>
      <c r="C31" s="124">
        <f aca="true" t="shared" si="1" ref="C31:I31">SUM(C26:C30)</f>
        <v>548747</v>
      </c>
      <c r="D31" s="124">
        <f t="shared" si="1"/>
        <v>59167</v>
      </c>
      <c r="E31" s="124">
        <f t="shared" si="1"/>
        <v>-20</v>
      </c>
      <c r="F31" s="124">
        <f t="shared" si="1"/>
        <v>148352.333409338</v>
      </c>
      <c r="G31" s="124">
        <f t="shared" si="1"/>
        <v>0</v>
      </c>
      <c r="H31" s="124">
        <f t="shared" si="1"/>
        <v>225784.4350223245</v>
      </c>
      <c r="I31" s="124">
        <f t="shared" si="1"/>
        <v>982030.7684316625</v>
      </c>
      <c r="J31" s="112"/>
    </row>
    <row r="32" spans="3:10" ht="12.75">
      <c r="C32" s="121"/>
      <c r="D32" s="121"/>
      <c r="E32" s="121"/>
      <c r="F32" s="121"/>
      <c r="G32" s="121"/>
      <c r="H32" s="121"/>
      <c r="I32" s="121"/>
      <c r="J32" s="113"/>
    </row>
    <row r="33" spans="2:10" ht="12.75">
      <c r="B33" s="114" t="s">
        <v>187</v>
      </c>
      <c r="C33" s="121"/>
      <c r="D33" s="121"/>
      <c r="E33" s="121"/>
      <c r="F33" s="121"/>
      <c r="G33" s="121"/>
      <c r="H33" s="121"/>
      <c r="I33" s="121"/>
      <c r="J33" s="113"/>
    </row>
    <row r="34" spans="3:9" ht="12.75">
      <c r="C34" s="120"/>
      <c r="D34" s="120"/>
      <c r="E34" s="120"/>
      <c r="F34" s="120"/>
      <c r="G34" s="120"/>
      <c r="H34" s="120"/>
      <c r="I34" s="120"/>
    </row>
    <row r="35" spans="2:9" ht="12.75">
      <c r="B35" s="28" t="s">
        <v>186</v>
      </c>
      <c r="C35" s="120">
        <f>215300</f>
        <v>215300</v>
      </c>
      <c r="D35" s="120">
        <f>0</f>
        <v>0</v>
      </c>
      <c r="E35" s="120">
        <f>-9</f>
        <v>-9</v>
      </c>
      <c r="F35" s="120">
        <f>11901+158400+11791</f>
        <v>182092</v>
      </c>
      <c r="G35" s="120">
        <f>G56</f>
        <v>0</v>
      </c>
      <c r="H35" s="120">
        <f>148031</f>
        <v>148031</v>
      </c>
      <c r="I35" s="120">
        <f>SUM(C35:H35)</f>
        <v>545414</v>
      </c>
    </row>
    <row r="36" spans="3:9" ht="12.75">
      <c r="C36" s="120"/>
      <c r="D36" s="120"/>
      <c r="E36" s="120"/>
      <c r="F36" s="120"/>
      <c r="G36" s="120"/>
      <c r="H36" s="120"/>
      <c r="I36" s="120"/>
    </row>
    <row r="37" spans="2:9" ht="12.75">
      <c r="B37" s="28" t="s">
        <v>185</v>
      </c>
      <c r="C37" s="121"/>
      <c r="D37" s="121"/>
      <c r="E37" s="120">
        <f>0</f>
        <v>0</v>
      </c>
      <c r="F37" s="120">
        <f>0</f>
        <v>0</v>
      </c>
      <c r="G37" s="120">
        <f>0</f>
        <v>0</v>
      </c>
      <c r="H37" s="120">
        <f>0</f>
        <v>0</v>
      </c>
      <c r="I37" s="120">
        <f>SUM(C37:H37)</f>
        <v>0</v>
      </c>
    </row>
    <row r="38" spans="3:9" ht="12.75">
      <c r="C38" s="120"/>
      <c r="D38" s="120"/>
      <c r="E38" s="120"/>
      <c r="F38" s="120"/>
      <c r="G38" s="120"/>
      <c r="H38" s="120"/>
      <c r="I38" s="120"/>
    </row>
    <row r="39" spans="2:9" ht="12.75">
      <c r="B39" s="28" t="s">
        <v>184</v>
      </c>
      <c r="C39" s="120">
        <f>0</f>
        <v>0</v>
      </c>
      <c r="D39" s="120">
        <f>0</f>
        <v>0</v>
      </c>
      <c r="E39" s="120">
        <f>-111</f>
        <v>-111</v>
      </c>
      <c r="F39" s="120">
        <f>0</f>
        <v>0</v>
      </c>
      <c r="G39" s="120">
        <f>0</f>
        <v>0</v>
      </c>
      <c r="H39" s="120">
        <f>0</f>
        <v>0</v>
      </c>
      <c r="I39" s="120">
        <f>SUM(C39:H39)</f>
        <v>-111</v>
      </c>
    </row>
    <row r="40" spans="3:9" ht="12.75">
      <c r="C40" s="120"/>
      <c r="D40" s="120"/>
      <c r="E40" s="120"/>
      <c r="F40" s="120"/>
      <c r="G40" s="120"/>
      <c r="H40" s="120"/>
      <c r="I40" s="120"/>
    </row>
    <row r="41" spans="2:9" ht="12.75">
      <c r="B41" s="28" t="s">
        <v>183</v>
      </c>
      <c r="C41" s="120">
        <f>0</f>
        <v>0</v>
      </c>
      <c r="D41" s="120">
        <f>0</f>
        <v>0</v>
      </c>
      <c r="E41" s="120">
        <f>0</f>
        <v>0</v>
      </c>
      <c r="F41" s="121">
        <f>-9</f>
        <v>-9</v>
      </c>
      <c r="G41" s="120">
        <f>0</f>
        <v>0</v>
      </c>
      <c r="H41" s="120">
        <f>0</f>
        <v>0</v>
      </c>
      <c r="I41" s="120">
        <f>SUM(C41:H41)</f>
        <v>-9</v>
      </c>
    </row>
    <row r="42" spans="3:9" ht="12.75">
      <c r="C42" s="120"/>
      <c r="D42" s="120"/>
      <c r="E42" s="120"/>
      <c r="F42" s="121"/>
      <c r="G42" s="120"/>
      <c r="H42" s="120"/>
      <c r="I42" s="120"/>
    </row>
    <row r="43" spans="2:9" ht="12.75">
      <c r="B43" s="28" t="s">
        <v>21</v>
      </c>
      <c r="C43" s="122">
        <f>0</f>
        <v>0</v>
      </c>
      <c r="D43" s="122">
        <f>0</f>
        <v>0</v>
      </c>
      <c r="E43" s="122">
        <f>0</f>
        <v>0</v>
      </c>
      <c r="F43" s="122">
        <f>0</f>
        <v>0</v>
      </c>
      <c r="G43" s="122">
        <f>0</f>
        <v>0</v>
      </c>
      <c r="H43" s="122">
        <f>34493</f>
        <v>34493</v>
      </c>
      <c r="I43" s="122">
        <f>SUM(C43:H43)</f>
        <v>34493</v>
      </c>
    </row>
    <row r="44" spans="3:9" ht="12.75">
      <c r="C44" s="121">
        <f aca="true" t="shared" si="2" ref="C44:I44">SUM(C35:C43)</f>
        <v>215300</v>
      </c>
      <c r="D44" s="121">
        <f t="shared" si="2"/>
        <v>0</v>
      </c>
      <c r="E44" s="121">
        <f t="shared" si="2"/>
        <v>-120</v>
      </c>
      <c r="F44" s="121">
        <f t="shared" si="2"/>
        <v>182083</v>
      </c>
      <c r="G44" s="121">
        <f t="shared" si="2"/>
        <v>0</v>
      </c>
      <c r="H44" s="121">
        <f t="shared" si="2"/>
        <v>182524</v>
      </c>
      <c r="I44" s="121">
        <f t="shared" si="2"/>
        <v>579787</v>
      </c>
    </row>
    <row r="45" spans="2:9" ht="12.75">
      <c r="B45" s="28" t="s">
        <v>182</v>
      </c>
      <c r="C45" s="121">
        <f>0</f>
        <v>0</v>
      </c>
      <c r="D45" s="121">
        <f>0</f>
        <v>0</v>
      </c>
      <c r="E45" s="121">
        <f>0</f>
        <v>0</v>
      </c>
      <c r="F45" s="121">
        <f>0</f>
        <v>0</v>
      </c>
      <c r="G45" s="121">
        <f>0</f>
        <v>0</v>
      </c>
      <c r="H45" s="121">
        <f>-4650</f>
        <v>-4650</v>
      </c>
      <c r="I45" s="121">
        <f>SUM(C45:H45)</f>
        <v>-4650</v>
      </c>
    </row>
    <row r="46" spans="2:9" ht="12.75">
      <c r="B46" s="28" t="s">
        <v>181</v>
      </c>
      <c r="C46" s="124">
        <f aca="true" t="shared" si="3" ref="C46:I46">SUM(C44:C45)</f>
        <v>215300</v>
      </c>
      <c r="D46" s="124">
        <f t="shared" si="3"/>
        <v>0</v>
      </c>
      <c r="E46" s="124">
        <f t="shared" si="3"/>
        <v>-120</v>
      </c>
      <c r="F46" s="124">
        <f t="shared" si="3"/>
        <v>182083</v>
      </c>
      <c r="G46" s="124">
        <f t="shared" si="3"/>
        <v>0</v>
      </c>
      <c r="H46" s="124">
        <f t="shared" si="3"/>
        <v>177874</v>
      </c>
      <c r="I46" s="124">
        <f t="shared" si="3"/>
        <v>575137</v>
      </c>
    </row>
    <row r="51" spans="3:4" ht="12.75">
      <c r="C51" s="28" t="s">
        <v>180</v>
      </c>
      <c r="D51" s="28"/>
    </row>
    <row r="52" spans="3:4" ht="12.75">
      <c r="C52" s="28" t="s">
        <v>80</v>
      </c>
      <c r="D52" s="28"/>
    </row>
  </sheetData>
  <sheetProtection sheet="1" objects="1" scenarios="1"/>
  <printOptions/>
  <pageMargins left="0.25" right="0.25" top="0.25" bottom="0.25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workbookViewId="0" topLeftCell="A8">
      <selection activeCell="I19" sqref="I19"/>
    </sheetView>
  </sheetViews>
  <sheetFormatPr defaultColWidth="9.140625" defaultRowHeight="12.75"/>
  <cols>
    <col min="9" max="9" width="13.00390625" style="0" customWidth="1"/>
  </cols>
  <sheetData>
    <row r="2" ht="12.75">
      <c r="B2" s="15" t="s">
        <v>0</v>
      </c>
    </row>
    <row r="3" ht="12.75">
      <c r="B3" s="29"/>
    </row>
    <row r="4" spans="2:12" ht="12.75">
      <c r="B4" s="106" t="s">
        <v>151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1" ht="12.75">
      <c r="B5" s="30"/>
      <c r="C5" s="30"/>
      <c r="D5" s="30"/>
      <c r="E5" s="30"/>
      <c r="F5" s="30"/>
      <c r="G5" s="30"/>
      <c r="H5" s="30"/>
      <c r="I5" s="107" t="s">
        <v>10</v>
      </c>
      <c r="J5" s="30"/>
      <c r="K5" s="30"/>
    </row>
    <row r="6" spans="2:11" ht="12.75">
      <c r="B6" s="26" t="s">
        <v>138</v>
      </c>
      <c r="C6" s="30"/>
      <c r="D6" s="30"/>
      <c r="E6" s="30"/>
      <c r="F6" s="30"/>
      <c r="G6" s="30"/>
      <c r="H6" s="30"/>
      <c r="I6" s="108">
        <f>'[4]Sheet1'!L80</f>
        <v>155363.82469170186</v>
      </c>
      <c r="J6" s="30"/>
      <c r="K6" s="30"/>
    </row>
    <row r="7" spans="2:11" ht="12.75">
      <c r="B7" s="26" t="s">
        <v>139</v>
      </c>
      <c r="C7" s="30"/>
      <c r="D7" s="30"/>
      <c r="E7" s="30"/>
      <c r="F7" s="30"/>
      <c r="G7" s="30"/>
      <c r="H7" s="30"/>
      <c r="I7" s="108">
        <f>'[4]Sheet1'!L81-1</f>
        <v>-143789.73909145547</v>
      </c>
      <c r="J7" s="30"/>
      <c r="K7" s="30"/>
    </row>
    <row r="8" spans="2:11" ht="12.75">
      <c r="B8" s="26" t="s">
        <v>140</v>
      </c>
      <c r="C8" s="30"/>
      <c r="D8" s="30"/>
      <c r="E8" s="30"/>
      <c r="F8" s="30"/>
      <c r="G8" s="30"/>
      <c r="H8" s="30"/>
      <c r="I8" s="109">
        <f>'[4]Sheet1'!L82</f>
        <v>-84326.18727744516</v>
      </c>
      <c r="J8" s="30"/>
      <c r="K8" s="30"/>
    </row>
    <row r="9" spans="2:11" ht="12.75">
      <c r="B9" s="26" t="s">
        <v>141</v>
      </c>
      <c r="C9" s="30"/>
      <c r="D9" s="30"/>
      <c r="E9" s="30"/>
      <c r="F9" s="30"/>
      <c r="G9" s="30"/>
      <c r="H9" s="30"/>
      <c r="I9" s="108">
        <f>SUM(I6:I8)</f>
        <v>-72752.10167719878</v>
      </c>
      <c r="J9" s="30"/>
      <c r="K9" s="30"/>
    </row>
    <row r="10" spans="2:11" ht="12.75">
      <c r="B10" s="26" t="s">
        <v>142</v>
      </c>
      <c r="C10" s="30"/>
      <c r="D10" s="30"/>
      <c r="E10" s="30"/>
      <c r="F10" s="30"/>
      <c r="G10" s="30"/>
      <c r="H10" s="30"/>
      <c r="I10" s="108">
        <f>'[4]Sheet1'!L84</f>
        <v>168121</v>
      </c>
      <c r="J10" s="30"/>
      <c r="K10" s="30"/>
    </row>
    <row r="11" spans="2:11" ht="12.75">
      <c r="B11" s="26" t="s">
        <v>143</v>
      </c>
      <c r="C11" s="30"/>
      <c r="D11" s="30"/>
      <c r="E11" s="30"/>
      <c r="F11" s="30"/>
      <c r="G11" s="30"/>
      <c r="H11" s="30"/>
      <c r="I11" s="110">
        <f>SUM(I9:I10)</f>
        <v>95368.89832280122</v>
      </c>
      <c r="J11" s="30"/>
      <c r="K11" s="30"/>
    </row>
    <row r="12" spans="2:11" ht="12.75">
      <c r="B12" s="30"/>
      <c r="C12" s="30"/>
      <c r="D12" s="30"/>
      <c r="E12" s="30"/>
      <c r="F12" s="30"/>
      <c r="G12" s="30"/>
      <c r="H12" s="30"/>
      <c r="I12" s="59"/>
      <c r="J12" s="30"/>
      <c r="K12" s="30"/>
    </row>
    <row r="13" spans="2:11" ht="12.75">
      <c r="B13" s="32" t="s">
        <v>144</v>
      </c>
      <c r="C13" s="32"/>
      <c r="D13" s="32"/>
      <c r="E13" s="32"/>
      <c r="F13" s="32"/>
      <c r="G13" s="32"/>
      <c r="H13" s="32"/>
      <c r="I13" s="60"/>
      <c r="J13" s="32"/>
      <c r="K13" s="32"/>
    </row>
    <row r="14" spans="2:11" ht="12.75">
      <c r="B14" s="32" t="s">
        <v>145</v>
      </c>
      <c r="C14" s="32"/>
      <c r="D14" s="32"/>
      <c r="E14" s="32"/>
      <c r="F14" s="32"/>
      <c r="G14" s="32"/>
      <c r="H14" s="32"/>
      <c r="I14" s="60"/>
      <c r="J14" s="32"/>
      <c r="K14" s="32"/>
    </row>
    <row r="15" spans="2:11" ht="12.75">
      <c r="B15" s="32"/>
      <c r="C15" s="32"/>
      <c r="D15" s="32"/>
      <c r="E15" s="32"/>
      <c r="F15" s="32"/>
      <c r="G15" s="32"/>
      <c r="H15" s="32"/>
      <c r="I15" s="60"/>
      <c r="J15" s="32"/>
      <c r="K15" s="32"/>
    </row>
    <row r="16" spans="2:11" ht="12.75">
      <c r="B16" s="33" t="s">
        <v>146</v>
      </c>
      <c r="C16" s="32"/>
      <c r="D16" s="32"/>
      <c r="E16" s="32"/>
      <c r="F16" s="32"/>
      <c r="G16" s="32"/>
      <c r="H16" s="32"/>
      <c r="I16" s="61">
        <f>'[2]Consol'!$EP$175/1000</f>
        <v>40938.922101799995</v>
      </c>
      <c r="J16" s="32"/>
      <c r="K16" s="32"/>
    </row>
    <row r="17" spans="2:11" ht="12.75">
      <c r="B17" s="33" t="s">
        <v>147</v>
      </c>
      <c r="C17" s="32"/>
      <c r="D17" s="32"/>
      <c r="E17" s="32"/>
      <c r="F17" s="32"/>
      <c r="G17" s="32"/>
      <c r="H17" s="32"/>
      <c r="I17" s="62">
        <f>SUM('[2]Consol'!$EP$176:$EP$177)/1000</f>
        <v>267326.159</v>
      </c>
      <c r="J17" s="32"/>
      <c r="K17" s="32"/>
    </row>
    <row r="18" spans="2:11" ht="12.75">
      <c r="B18" s="33" t="s">
        <v>148</v>
      </c>
      <c r="C18" s="32"/>
      <c r="D18" s="32"/>
      <c r="E18" s="32"/>
      <c r="F18" s="32"/>
      <c r="G18" s="32"/>
      <c r="H18" s="32"/>
      <c r="I18" s="63">
        <f>-'[2]Consol'!$EP$192/1000</f>
        <v>-44778.825</v>
      </c>
      <c r="J18" s="32"/>
      <c r="K18" s="32"/>
    </row>
    <row r="19" spans="2:11" ht="12.75">
      <c r="B19" s="32"/>
      <c r="C19" s="32"/>
      <c r="D19" s="32"/>
      <c r="E19" s="32"/>
      <c r="F19" s="32"/>
      <c r="G19" s="32"/>
      <c r="H19" s="32"/>
      <c r="I19" s="61">
        <f>SUM(I16:I18)</f>
        <v>263486.25610179995</v>
      </c>
      <c r="J19" s="32"/>
      <c r="K19" s="32"/>
    </row>
    <row r="20" spans="2:11" ht="12.75">
      <c r="B20" s="33" t="s">
        <v>149</v>
      </c>
      <c r="C20" s="32"/>
      <c r="D20" s="32"/>
      <c r="E20" s="32"/>
      <c r="F20" s="32"/>
      <c r="G20" s="32"/>
      <c r="H20" s="32"/>
      <c r="I20" s="61">
        <f>'[4]Sheet1'!L94</f>
        <v>-168117</v>
      </c>
      <c r="J20" s="32"/>
      <c r="K20" s="32"/>
    </row>
    <row r="21" spans="2:11" ht="12.75">
      <c r="B21" s="32"/>
      <c r="C21" s="32"/>
      <c r="D21" s="32"/>
      <c r="E21" s="32"/>
      <c r="F21" s="32"/>
      <c r="G21" s="32"/>
      <c r="H21" s="32"/>
      <c r="I21" s="64">
        <f>SUM(I19:I20)</f>
        <v>95369.25610179995</v>
      </c>
      <c r="J21" s="32"/>
      <c r="K21" s="32"/>
    </row>
    <row r="23" ht="12.75" hidden="1">
      <c r="I23" s="34">
        <f>I11-I21</f>
        <v>-0.35777899873210117</v>
      </c>
    </row>
    <row r="33" ht="12.75">
      <c r="B33" s="2" t="s">
        <v>150</v>
      </c>
    </row>
    <row r="34" ht="12.75">
      <c r="B34" s="2" t="s">
        <v>80</v>
      </c>
    </row>
  </sheetData>
  <sheetProtection sheet="1" objects="1" scenarios="1"/>
  <printOptions/>
  <pageMargins left="0.25" right="0.25" top="0.25" bottom="0.25" header="0.5" footer="0.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workbookViewId="0" topLeftCell="R1">
      <selection activeCell="R16" sqref="R16"/>
    </sheetView>
  </sheetViews>
  <sheetFormatPr defaultColWidth="9.140625" defaultRowHeight="12.75"/>
  <cols>
    <col min="1" max="2" width="3.140625" style="49" customWidth="1"/>
    <col min="3" max="3" width="9.140625" style="49" customWidth="1"/>
    <col min="4" max="4" width="29.28125" style="49" customWidth="1"/>
    <col min="5" max="5" width="16.28125" style="49" customWidth="1"/>
    <col min="6" max="6" width="1.7109375" style="49" customWidth="1"/>
    <col min="7" max="7" width="16.28125" style="49" customWidth="1"/>
    <col min="8" max="8" width="1.7109375" style="49" customWidth="1"/>
    <col min="9" max="9" width="16.28125" style="49" customWidth="1"/>
    <col min="10" max="10" width="1.7109375" style="49" customWidth="1"/>
    <col min="11" max="11" width="16.28125" style="49" customWidth="1"/>
    <col min="12" max="12" width="1.7109375" style="49" customWidth="1"/>
    <col min="13" max="13" width="16.28125" style="49" customWidth="1"/>
    <col min="14" max="14" width="1.7109375" style="49" customWidth="1"/>
    <col min="15" max="15" width="16.28125" style="49" customWidth="1"/>
    <col min="16" max="16" width="1.7109375" style="49" customWidth="1"/>
    <col min="17" max="17" width="16.28125" style="49" customWidth="1"/>
    <col min="18" max="18" width="1.7109375" style="49" customWidth="1"/>
    <col min="19" max="19" width="16.28125" style="49" customWidth="1"/>
    <col min="20" max="20" width="1.7109375" style="49" customWidth="1"/>
    <col min="21" max="21" width="16.28125" style="49" customWidth="1"/>
    <col min="22" max="22" width="12.00390625" style="49" bestFit="1" customWidth="1"/>
    <col min="23" max="16384" width="9.140625" style="49" customWidth="1"/>
  </cols>
  <sheetData>
    <row r="1" spans="1:5" ht="12.75">
      <c r="A1" s="101" t="s">
        <v>82</v>
      </c>
      <c r="B1" s="102" t="s">
        <v>83</v>
      </c>
      <c r="E1" s="103"/>
    </row>
    <row r="3" spans="2:5" ht="12.75">
      <c r="B3" s="102" t="s">
        <v>84</v>
      </c>
      <c r="C3" s="104" t="s">
        <v>85</v>
      </c>
      <c r="E3" s="102"/>
    </row>
    <row r="5" s="102" customFormat="1" ht="12.75">
      <c r="E5" s="57" t="s">
        <v>86</v>
      </c>
    </row>
    <row r="6" spans="5:17" s="102" customFormat="1" ht="12.75">
      <c r="E6" s="57" t="s">
        <v>87</v>
      </c>
      <c r="O6" s="57" t="s">
        <v>88</v>
      </c>
      <c r="Q6" s="57" t="s">
        <v>89</v>
      </c>
    </row>
    <row r="7" spans="5:21" s="102" customFormat="1" ht="12.75">
      <c r="E7" s="57" t="s">
        <v>90</v>
      </c>
      <c r="G7" s="57" t="s">
        <v>91</v>
      </c>
      <c r="I7" s="57" t="s">
        <v>92</v>
      </c>
      <c r="J7" s="57"/>
      <c r="K7" s="57" t="s">
        <v>93</v>
      </c>
      <c r="L7" s="57"/>
      <c r="M7" s="57" t="s">
        <v>94</v>
      </c>
      <c r="O7" s="57" t="s">
        <v>95</v>
      </c>
      <c r="Q7" s="57" t="s">
        <v>96</v>
      </c>
      <c r="S7" s="57" t="s">
        <v>97</v>
      </c>
      <c r="T7" s="57"/>
      <c r="U7" s="57" t="s">
        <v>98</v>
      </c>
    </row>
    <row r="8" spans="5:21" s="102" customFormat="1" ht="12.75">
      <c r="E8" s="57" t="s">
        <v>99</v>
      </c>
      <c r="G8" s="57" t="s">
        <v>99</v>
      </c>
      <c r="I8" s="57" t="s">
        <v>99</v>
      </c>
      <c r="K8" s="57" t="s">
        <v>99</v>
      </c>
      <c r="M8" s="57" t="s">
        <v>99</v>
      </c>
      <c r="O8" s="57" t="s">
        <v>99</v>
      </c>
      <c r="Q8" s="57" t="s">
        <v>99</v>
      </c>
      <c r="S8" s="57" t="s">
        <v>99</v>
      </c>
      <c r="U8" s="57" t="s">
        <v>99</v>
      </c>
    </row>
    <row r="9" s="102" customFormat="1" ht="12.75"/>
    <row r="10" spans="3:5" ht="12.75">
      <c r="C10" s="102" t="s">
        <v>100</v>
      </c>
      <c r="E10" s="102"/>
    </row>
    <row r="11" spans="4:21" ht="12.75">
      <c r="D11" s="49" t="s">
        <v>101</v>
      </c>
      <c r="E11" s="53">
        <f>(('[2]Consol'!$EN$675+'[2]Consol'!$EN$676+'[2]Consol'!$EN$677+'[2]Consol'!$EN$678+'[2]Consol'!$EN$684+'[2]Consol'!$EO$14)/1000)</f>
        <v>870062.34825</v>
      </c>
      <c r="F11" s="41"/>
      <c r="G11" s="41">
        <f>'[2]Consol'!$EN$681/1000</f>
        <v>4547.352</v>
      </c>
      <c r="H11" s="41"/>
      <c r="I11" s="41">
        <f>'[2]Consol'!EN679/1000</f>
        <v>14010.337</v>
      </c>
      <c r="J11" s="41"/>
      <c r="K11" s="41">
        <f>'[2]Consol'!EN682/1000</f>
        <v>40400.087</v>
      </c>
      <c r="L11" s="41"/>
      <c r="M11" s="41">
        <f>'[2]Consol'!EN680/1000</f>
        <v>1996.866</v>
      </c>
      <c r="N11" s="41"/>
      <c r="O11" s="41">
        <f>'[2]Consol'!EN683/1000</f>
        <v>18175.104573200002</v>
      </c>
      <c r="P11" s="41"/>
      <c r="Q11" s="43">
        <f>O11+M11+K11+I11+G11+E11</f>
        <v>949192.0948232</v>
      </c>
      <c r="R11" s="41"/>
      <c r="S11" s="41">
        <v>0</v>
      </c>
      <c r="T11" s="41"/>
      <c r="U11" s="41">
        <f>Q11</f>
        <v>949192.0948232</v>
      </c>
    </row>
    <row r="12" spans="5:21" ht="12.75"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3"/>
      <c r="R12" s="41"/>
      <c r="S12" s="41"/>
      <c r="T12" s="41"/>
      <c r="U12" s="41"/>
    </row>
    <row r="13" spans="4:21" ht="12.75">
      <c r="D13" s="49" t="s">
        <v>102</v>
      </c>
      <c r="E13" s="43">
        <f>('[2]TCB'!$N$352-'[2]Consol'!$BY$14-'[2]Consol'!$CG$14)/1000</f>
        <v>2762.29875</v>
      </c>
      <c r="F13" s="41"/>
      <c r="G13" s="43">
        <f>-'[2]Consol'!$EM$681/1000</f>
        <v>1416.832</v>
      </c>
      <c r="H13" s="41"/>
      <c r="I13" s="43">
        <f>0</f>
        <v>0</v>
      </c>
      <c r="J13" s="41"/>
      <c r="K13" s="43">
        <f>-'[2]Consol'!EM682/1000</f>
        <v>18806.592</v>
      </c>
      <c r="L13" s="41"/>
      <c r="M13" s="43">
        <f>-'[2]Consol'!$EM$680</f>
        <v>0</v>
      </c>
      <c r="N13" s="41"/>
      <c r="O13" s="43">
        <v>0</v>
      </c>
      <c r="P13" s="43"/>
      <c r="Q13" s="43">
        <f>O13+M13+K13+I13+G13+E13</f>
        <v>22985.72275</v>
      </c>
      <c r="R13" s="41"/>
      <c r="S13" s="43">
        <f>-(E13+G13+I13+K13+M13+O13)</f>
        <v>-22985.72275</v>
      </c>
      <c r="T13" s="41"/>
      <c r="U13" s="43">
        <f>-(E13+G13+I13+K13+M13+O13+S13)</f>
        <v>0</v>
      </c>
    </row>
    <row r="14" spans="5:21" ht="12.75"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4:21" ht="12.75">
      <c r="D15" s="49" t="s">
        <v>103</v>
      </c>
      <c r="E15" s="45">
        <f>SUM(E11:E13)</f>
        <v>872824.647</v>
      </c>
      <c r="F15" s="45"/>
      <c r="G15" s="45">
        <f>SUM(G11:G13)</f>
        <v>5964.184</v>
      </c>
      <c r="H15" s="45"/>
      <c r="I15" s="45">
        <f>SUM(I11:I13)</f>
        <v>14010.337</v>
      </c>
      <c r="J15" s="45"/>
      <c r="K15" s="45">
        <f>SUM(K11:K13)</f>
        <v>59206.679000000004</v>
      </c>
      <c r="L15" s="45"/>
      <c r="M15" s="45">
        <f>SUM(M11:M13)</f>
        <v>1996.866</v>
      </c>
      <c r="N15" s="45"/>
      <c r="O15" s="45">
        <f>SUM(O11:O13)</f>
        <v>18175.104573200002</v>
      </c>
      <c r="P15" s="45"/>
      <c r="Q15" s="45">
        <f>SUM(Q11:Q13)</f>
        <v>972177.8175732</v>
      </c>
      <c r="R15" s="45"/>
      <c r="S15" s="45">
        <f>SUM(S11:S13)</f>
        <v>-22985.72275</v>
      </c>
      <c r="T15" s="45"/>
      <c r="U15" s="45">
        <f>E15+G15+I15+K15+M15+O15+S15</f>
        <v>949192.0948232001</v>
      </c>
    </row>
    <row r="16" spans="6:22" ht="12.75"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05"/>
    </row>
    <row r="17" spans="3:22" ht="12.75">
      <c r="C17" s="102" t="s">
        <v>104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105"/>
    </row>
    <row r="18" spans="4:22" ht="12.75">
      <c r="D18" s="49" t="s">
        <v>105</v>
      </c>
      <c r="E18" s="43">
        <f>((SUM('[2]Consol'!$EN$704,'[2]Consol'!$EN$705,'[2]Consol'!$EN$706,'[2]Consol'!$EN$707,'[2]Consol'!$EN$713)-SUM('[2]Consol'!$EM$704,'[2]Consol'!$EM$705,'[2]Consol'!$EM$706,'[2]Consol'!$EM$707,'[2]Consol'!$EM$713))/1000)+('[2]Consol'!$EO$39/1000)-5200</f>
        <v>112109.70237999999</v>
      </c>
      <c r="F18" s="43"/>
      <c r="G18" s="43">
        <f>+'[2]Consol'!$EM$710+'[2]Consol'!$EN$710/1000</f>
        <v>803.318</v>
      </c>
      <c r="H18" s="43"/>
      <c r="I18" s="43">
        <f>('[2]Consol'!$EN$708-'[2]Consol'!$EM$708)/1000</f>
        <v>-63.4087200000002</v>
      </c>
      <c r="J18" s="43"/>
      <c r="K18" s="43">
        <f>('[2]Consol'!EN711-'[2]Consol'!EM711)/1000</f>
        <v>2700.381</v>
      </c>
      <c r="L18" s="43"/>
      <c r="M18" s="43">
        <f>('[2]Consol'!$EN$709-'[2]Consol'!$EM$709)/1000</f>
        <v>-2130.219</v>
      </c>
      <c r="N18" s="43"/>
      <c r="O18" s="43">
        <f>('[2]Consol'!EN712-'[2]Consol'!EM712)/1000</f>
        <v>-607.6962652999964</v>
      </c>
      <c r="P18" s="43"/>
      <c r="Q18" s="43">
        <f>O18+M18+K18+I18+G18+E18</f>
        <v>112812.0773947</v>
      </c>
      <c r="R18" s="43"/>
      <c r="S18" s="43">
        <f>('[2]Consol'!EM717-'[2]Consol'!EM715)/1000</f>
        <v>-35880.086747436944</v>
      </c>
      <c r="T18" s="43"/>
      <c r="U18" s="43">
        <f>Q18+S18</f>
        <v>76931.99064726305</v>
      </c>
      <c r="V18" s="105"/>
    </row>
    <row r="19" spans="4:22" ht="12.75">
      <c r="D19" s="49" t="s">
        <v>106</v>
      </c>
      <c r="E19" s="43">
        <f>((('[2]Consol'!$EN$917+'[2]Consol'!$EN$918+'[2]Consol'!$EN$919+'[2]Consol'!$EN$920+'[2]Consol'!$EN$926)-('[2]Consol'!$EM$917+'[2]Consol'!$EM$918+'[2]Consol'!$EM$919+'[2]Consol'!$EM$920+'[2]Consol'!$EM$926))/1000)-800</f>
        <v>14238.34</v>
      </c>
      <c r="F19" s="43"/>
      <c r="G19" s="43">
        <f>('[2]Consol'!$EN$923-'[2]Consol'!$EM$923)/1000</f>
        <v>0</v>
      </c>
      <c r="H19" s="43"/>
      <c r="I19" s="43">
        <f>('[2]Consol'!$EN$921-'[2]Consol'!$EM$921)/1000</f>
        <v>0</v>
      </c>
      <c r="J19" s="43"/>
      <c r="K19" s="43">
        <f>('[2]Consol'!$EN$924-'[2]Consol'!$EM$924)/1000</f>
        <v>70.157</v>
      </c>
      <c r="L19" s="43"/>
      <c r="M19" s="43">
        <f>('[2]Consol'!$EN$922-'[2]Consol'!$EM$922)/1000</f>
        <v>90.332</v>
      </c>
      <c r="N19" s="43"/>
      <c r="O19" s="43">
        <f>('[2]Consol'!$EN$925-'[2]Consol'!$EM$925)/1000</f>
        <v>7.4439276</v>
      </c>
      <c r="P19" s="43"/>
      <c r="Q19" s="43">
        <f>O19+M19+K19+I19+G19+E19</f>
        <v>14406.272927600001</v>
      </c>
      <c r="R19" s="43"/>
      <c r="S19" s="43">
        <f>'[2]Consol'!$EM$928/1000</f>
        <v>-4888.956</v>
      </c>
      <c r="T19" s="43"/>
      <c r="U19" s="43">
        <f>Q19+S19</f>
        <v>9517.3169276</v>
      </c>
      <c r="V19" s="105"/>
    </row>
    <row r="20" spans="4:22" ht="12.75">
      <c r="D20" s="49" t="s">
        <v>107</v>
      </c>
      <c r="E20" s="44">
        <f>((('[2]Consol'!$EN$932+'[2]Consol'!$EN$933+'[2]Consol'!$EN$934+'[2]Consol'!$EN$935+'[2]Consol'!$EN$941)-('[2]Consol'!$EM$932+'[2]Consol'!$EM$933+'[2]Consol'!$EM$934+'[2]Consol'!$EM$935+'[2]Consol'!$EM$941))/1000)+6000</f>
        <v>-17791.942</v>
      </c>
      <c r="F20" s="44"/>
      <c r="G20" s="44">
        <f>('[2]Consol'!$EN$938-'[2]Consol'!$EM$938)/1000</f>
        <v>0</v>
      </c>
      <c r="H20" s="44"/>
      <c r="I20" s="44">
        <f>('[2]Consol'!$EN$936-'[2]Consol'!$EM$936)/1000</f>
        <v>-166.402</v>
      </c>
      <c r="J20" s="44"/>
      <c r="K20" s="44">
        <f>('[2]Consol'!$EN$939-'[2]Consol'!$EM$939)/1000</f>
        <v>-1192.791</v>
      </c>
      <c r="L20" s="44"/>
      <c r="M20" s="44">
        <f>('[2]Consol'!$EN$937-'[2]Consol'!$EM$937)/1000</f>
        <v>-482.762</v>
      </c>
      <c r="N20" s="44"/>
      <c r="O20" s="44">
        <f>('[2]Consol'!$EN$940-'[2]Consol'!$EM$940)/1000</f>
        <v>-3062.991038</v>
      </c>
      <c r="P20" s="44"/>
      <c r="Q20" s="44">
        <f>O20+M20+K20+I20+G20+E20</f>
        <v>-22696.888037999997</v>
      </c>
      <c r="R20" s="44"/>
      <c r="S20" s="44">
        <f>'[2]Consol'!$EM$943/1000</f>
        <v>7438.82</v>
      </c>
      <c r="T20" s="44"/>
      <c r="U20" s="44">
        <f>Q20+S20</f>
        <v>-15258.068037999998</v>
      </c>
      <c r="V20" s="105"/>
    </row>
    <row r="21" spans="4:22" ht="12.75">
      <c r="D21" s="49" t="s">
        <v>108</v>
      </c>
      <c r="E21" s="45">
        <f>SUM(E18:E20)</f>
        <v>108556.10037999999</v>
      </c>
      <c r="F21" s="45"/>
      <c r="G21" s="45">
        <f>SUM(G18:G20)</f>
        <v>803.318</v>
      </c>
      <c r="H21" s="45"/>
      <c r="I21" s="45">
        <f>SUM(I18:I20)</f>
        <v>-229.81072000000017</v>
      </c>
      <c r="J21" s="45"/>
      <c r="K21" s="45">
        <f>SUM(K18:K20)</f>
        <v>1577.747</v>
      </c>
      <c r="L21" s="45"/>
      <c r="M21" s="45">
        <f>SUM(M18:M20)</f>
        <v>-2522.6490000000003</v>
      </c>
      <c r="N21" s="45"/>
      <c r="O21" s="45">
        <f>SUM(O18:O20)</f>
        <v>-3663.2433756999962</v>
      </c>
      <c r="P21" s="45"/>
      <c r="Q21" s="45">
        <f>SUM(Q18:Q20)</f>
        <v>104521.46228430001</v>
      </c>
      <c r="R21" s="45"/>
      <c r="S21" s="45">
        <f>SUM(S18:S20)</f>
        <v>-33330.22274743694</v>
      </c>
      <c r="T21" s="45"/>
      <c r="U21" s="43">
        <f>SUM(U18:U20)</f>
        <v>71191.23953686305</v>
      </c>
      <c r="V21" s="105"/>
    </row>
    <row r="22" spans="5:22" ht="12.75"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41"/>
      <c r="S22" s="41"/>
      <c r="T22" s="41"/>
      <c r="U22" s="41"/>
      <c r="V22" s="105"/>
    </row>
    <row r="23" spans="4:22" ht="12.75" hidden="1">
      <c r="D23" s="49" t="s">
        <v>109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>
        <f>('[5]Consol'!$EN$50-'[5]Consol'!$EN$47-'[5]Consol'!$EN$41-'[5]Consol'!$EN$35)/1000</f>
        <v>37478.589140021264</v>
      </c>
      <c r="V23" s="105"/>
    </row>
    <row r="24" spans="6:22" ht="12.75" hidden="1"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105"/>
    </row>
    <row r="25" spans="4:22" ht="12.75" hidden="1">
      <c r="D25" s="49" t="s">
        <v>110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>
        <f>'[5]Consol'!EN41/1000</f>
        <v>-13920.1193856</v>
      </c>
      <c r="V25" s="105"/>
    </row>
    <row r="26" spans="6:22" ht="12.75" hidden="1"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05"/>
    </row>
    <row r="27" spans="4:22" ht="12.75" hidden="1">
      <c r="D27" s="49" t="s">
        <v>111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>
        <f>'[5]Consol'!EN35/1000</f>
        <v>7857.971</v>
      </c>
      <c r="V27" s="105"/>
    </row>
    <row r="28" spans="6:22" ht="12.75" hidden="1"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05"/>
    </row>
    <row r="29" spans="4:21" ht="12.75">
      <c r="D29" s="49" t="s">
        <v>112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4:21" ht="12.75">
      <c r="D30" s="49" t="s">
        <v>113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>
        <f>'[2]Consol'!EP47/1000</f>
        <v>4245.3707004</v>
      </c>
    </row>
    <row r="31" spans="6:21" ht="12.75"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4"/>
    </row>
    <row r="32" spans="4:21" ht="12.75">
      <c r="D32" s="49" t="s">
        <v>114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>
        <f>U21+U30</f>
        <v>75436.61023726306</v>
      </c>
    </row>
    <row r="33" spans="6:21" ht="12.75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4:21" ht="12.75">
      <c r="D34" s="49" t="s">
        <v>115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>
        <f>SUM('[2]Consol'!$EP$52:$EP$55)/1000</f>
        <v>-24162.757</v>
      </c>
    </row>
    <row r="35" spans="6:21" ht="12.75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4:21" ht="13.5" thickBot="1">
      <c r="D36" s="49" t="s">
        <v>116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54">
        <f>SUM(U32:U35)</f>
        <v>51273.85323726306</v>
      </c>
    </row>
    <row r="37" spans="6:21" ht="12.75"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>
        <f>U36-('[2]Consol'!$EP$57/1000)</f>
        <v>0</v>
      </c>
    </row>
    <row r="38" spans="6:21" ht="12.75"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3:21" ht="12.75">
      <c r="C39" s="102" t="s">
        <v>117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4:21" ht="12.75">
      <c r="D40" s="49" t="s">
        <v>118</v>
      </c>
      <c r="E40" s="41">
        <f>SUM('[2]Consol'!EN962:EN965,'[2]Consol'!EN971)/1000</f>
        <v>3732.111</v>
      </c>
      <c r="F40" s="41"/>
      <c r="G40" s="41">
        <f>'[2]Consol'!EN968/1000</f>
        <v>8.35</v>
      </c>
      <c r="H40" s="41"/>
      <c r="I40" s="41">
        <f>'[2]Consol'!EN966/1000</f>
        <v>0</v>
      </c>
      <c r="J40" s="41"/>
      <c r="K40" s="41">
        <f>'[2]Consol'!EN969/1000</f>
        <v>4.904</v>
      </c>
      <c r="L40" s="41"/>
      <c r="M40" s="41">
        <f>'[2]Consol'!EN967/1000</f>
        <v>34.327</v>
      </c>
      <c r="N40" s="41"/>
      <c r="O40" s="41">
        <f>'[2]Consol'!EN970/1000</f>
        <v>884.5272644999999</v>
      </c>
      <c r="P40" s="41"/>
      <c r="Q40" s="41"/>
      <c r="R40" s="41"/>
      <c r="S40" s="41"/>
      <c r="T40" s="41"/>
      <c r="U40" s="41">
        <f>E40+G40+I40+K40+M40+O40</f>
        <v>4664.2192645</v>
      </c>
    </row>
    <row r="41" spans="4:21" ht="12.75">
      <c r="D41" s="49" t="s">
        <v>119</v>
      </c>
      <c r="E41" s="41">
        <f>(SUM('[2]Consol'!EN782:EN785,'[2]Consol'!EN791)/1000)</f>
        <v>4419.3675197802195</v>
      </c>
      <c r="F41" s="41"/>
      <c r="G41" s="41">
        <f>'[2]Consol'!EN788/1000</f>
        <v>23.244</v>
      </c>
      <c r="H41" s="41"/>
      <c r="I41" s="41">
        <f>('[2]Consol'!EN786/1000)</f>
        <v>14.352</v>
      </c>
      <c r="J41" s="41"/>
      <c r="K41" s="41">
        <f>('[2]Consol'!EN789/1000)</f>
        <v>792.603</v>
      </c>
      <c r="L41" s="41"/>
      <c r="M41" s="41">
        <f>('[2]Consol'!EN787/1000)</f>
        <v>1259.836</v>
      </c>
      <c r="N41" s="41"/>
      <c r="O41" s="41">
        <f>'[2]Consol'!EN790/1000</f>
        <v>2933.5254861</v>
      </c>
      <c r="P41" s="41"/>
      <c r="Q41" s="41"/>
      <c r="R41" s="41"/>
      <c r="S41" s="41"/>
      <c r="T41" s="41"/>
      <c r="U41" s="41">
        <f>E41+G41+I41+K41+M41+O41</f>
        <v>9442.92800588022</v>
      </c>
    </row>
    <row r="42" spans="6:21" ht="12.75"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3:21" ht="12.75">
      <c r="C43" s="102" t="s">
        <v>120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3:21" ht="12.75">
      <c r="C44" s="102" t="s">
        <v>121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4:21" ht="12.75">
      <c r="D45" s="49" t="s">
        <v>122</v>
      </c>
      <c r="E45" s="41">
        <f>((SUM('[2]Consol'!$EN$751,'[2]Consol'!$EN$752,'[2]Consol'!$EN$753,'[2]Consol'!$EN$754,'[2]Consol'!$EN$760)/1000)-U48)+('[2]Consol'!$EO$183/1000)-6400</f>
        <v>3898338.0418792893</v>
      </c>
      <c r="F45" s="41"/>
      <c r="G45" s="41">
        <f>'[2]Consol'!EN757/1000</f>
        <v>78074.31734000001</v>
      </c>
      <c r="H45" s="41"/>
      <c r="I45" s="41">
        <f>'[2]Consol'!EN755/1000</f>
        <v>19416.766754999997</v>
      </c>
      <c r="J45" s="41"/>
      <c r="K45" s="41">
        <f>'[2]Consol'!EN758/1000</f>
        <v>26780.273</v>
      </c>
      <c r="L45" s="41"/>
      <c r="M45" s="41">
        <f>'[2]Consol'!EN756/1000</f>
        <v>50112.211005263154</v>
      </c>
      <c r="N45" s="41"/>
      <c r="O45" s="41">
        <f>'[2]Consol'!EN759/1000</f>
        <v>167924.04359939997</v>
      </c>
      <c r="P45" s="41"/>
      <c r="Q45" s="41"/>
      <c r="R45" s="41"/>
      <c r="S45" s="41"/>
      <c r="T45" s="41"/>
      <c r="U45" s="41">
        <f>E45+G45+I45+K45+M45+O45</f>
        <v>4240645.653578953</v>
      </c>
    </row>
    <row r="46" spans="5:21" ht="12.75"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4:21" ht="12.75">
      <c r="D47" s="49" t="s">
        <v>123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4:21" ht="12.75">
      <c r="D48" s="49" t="s">
        <v>124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>
        <f>'[2]Consol'!EP218/1000</f>
        <v>0.0003612259924411774</v>
      </c>
    </row>
    <row r="49" spans="5:21" ht="12.75"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4"/>
    </row>
    <row r="50" spans="4:21" ht="13.5" thickBot="1">
      <c r="D50" s="49" t="s">
        <v>125</v>
      </c>
      <c r="E50" s="55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54">
        <f>SUM(U45:U48)</f>
        <v>4240645.653940178</v>
      </c>
    </row>
    <row r="51" spans="5:21" ht="12.75">
      <c r="E51" s="55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3"/>
    </row>
    <row r="52" spans="3:21" ht="12.75">
      <c r="C52" s="102" t="s">
        <v>126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4:21" ht="13.5" thickBot="1">
      <c r="D53" s="49" t="s">
        <v>127</v>
      </c>
      <c r="E53" s="41">
        <f>(SUM('[2]Consol'!$EN$766,'[2]Consol'!$EN$767,'[2]Consol'!$EN$768,'[2]Consol'!$EN$769,'[2]Consol'!$EN$775)/1000)+('[2]Consol'!$EO$201/1000)</f>
        <v>2736733.2238171</v>
      </c>
      <c r="F53" s="41"/>
      <c r="G53" s="41">
        <f>'[2]Consol'!$EN$772/1000</f>
        <v>58619.628</v>
      </c>
      <c r="H53" s="41"/>
      <c r="I53" s="41">
        <f>'[2]Consol'!$EN$770/1000</f>
        <v>25095.298769765002</v>
      </c>
      <c r="J53" s="41"/>
      <c r="K53" s="41">
        <f>'[2]Consol'!$EN$773/1000</f>
        <v>18628.341</v>
      </c>
      <c r="L53" s="41"/>
      <c r="M53" s="41">
        <f>'[2]Consol'!$EN$771/1000</f>
        <v>71718.004</v>
      </c>
      <c r="N53" s="41"/>
      <c r="O53" s="41">
        <f>'[2]Consol'!$EN$774/1000</f>
        <v>120537.13149544202</v>
      </c>
      <c r="P53" s="41"/>
      <c r="Q53" s="41"/>
      <c r="R53" s="41"/>
      <c r="S53" s="41"/>
      <c r="T53" s="41"/>
      <c r="U53" s="56">
        <f>E53+G53+I53+K53+M53+O53</f>
        <v>3031331.6270823074</v>
      </c>
    </row>
    <row r="54" spans="6:21" ht="12.75"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8" spans="2:3" ht="12.75">
      <c r="B58" s="102" t="s">
        <v>128</v>
      </c>
      <c r="C58" s="104" t="s">
        <v>129</v>
      </c>
    </row>
    <row r="59" spans="2:21" ht="12.75">
      <c r="B59" s="102"/>
      <c r="C59" s="102"/>
      <c r="Q59" s="57" t="s">
        <v>130</v>
      </c>
      <c r="R59" s="57"/>
      <c r="S59" s="57" t="s">
        <v>131</v>
      </c>
      <c r="U59" s="57" t="s">
        <v>132</v>
      </c>
    </row>
    <row r="60" spans="2:21" ht="12.75">
      <c r="B60" s="102"/>
      <c r="C60" s="102"/>
      <c r="Q60" s="57" t="s">
        <v>133</v>
      </c>
      <c r="R60" s="57"/>
      <c r="S60" s="57" t="s">
        <v>134</v>
      </c>
      <c r="U60" s="57" t="s">
        <v>135</v>
      </c>
    </row>
    <row r="61" spans="17:21" ht="12.75">
      <c r="Q61" s="57" t="s">
        <v>81</v>
      </c>
      <c r="R61" s="57"/>
      <c r="S61" s="57" t="s">
        <v>81</v>
      </c>
      <c r="U61" s="57" t="s">
        <v>81</v>
      </c>
    </row>
    <row r="62" spans="3:21" ht="12.75">
      <c r="C62" s="49" t="s">
        <v>136</v>
      </c>
      <c r="Q62" s="41">
        <f>U11-Q63</f>
        <v>933613.21925</v>
      </c>
      <c r="R62" s="41"/>
      <c r="S62" s="41">
        <f>U50-S63</f>
        <v>4005618.8072760524</v>
      </c>
      <c r="U62" s="55">
        <f>U40-U63</f>
        <v>3779.6919999999996</v>
      </c>
    </row>
    <row r="63" spans="3:21" ht="12.75">
      <c r="C63" s="49" t="s">
        <v>137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>
        <f>'[2]Consol'!EN1090/1000</f>
        <v>15578.8755732</v>
      </c>
      <c r="R63" s="41"/>
      <c r="S63" s="41">
        <f>SUM('[2]Consol'!$EN$1071:$EN$1072)/1000</f>
        <v>235026.84666412597</v>
      </c>
      <c r="U63" s="41">
        <f>'[2]Consol'!$AX$1151/1000</f>
        <v>884.5272644999999</v>
      </c>
    </row>
    <row r="64" spans="6:21" ht="13.5" thickBot="1"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4">
        <f>SUM(Q62:Q63)</f>
        <v>949192.0948232</v>
      </c>
      <c r="R64" s="54"/>
      <c r="S64" s="54">
        <f>SUM(S62:S63)</f>
        <v>4240645.653940178</v>
      </c>
      <c r="T64" s="58"/>
      <c r="U64" s="54">
        <f>SUM(U62:U63)</f>
        <v>4664.2192645</v>
      </c>
    </row>
    <row r="65" spans="6:21" ht="12.75"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>
        <f>+U15-Q64</f>
        <v>0</v>
      </c>
      <c r="R65" s="41"/>
      <c r="S65" s="41">
        <f>+U50-S64</f>
        <v>0</v>
      </c>
      <c r="U65" s="55">
        <f>U64-U40</f>
        <v>0</v>
      </c>
    </row>
    <row r="66" spans="6:21" ht="12.75"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6:21" ht="12.75"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6:21" ht="12.75"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</sheetData>
  <sheetProtection sheet="1" objects="1" scenarios="1"/>
  <printOptions/>
  <pageMargins left="0.25" right="0.25" top="0.25" bottom="0.25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Sec</cp:lastModifiedBy>
  <cp:lastPrinted>2004-02-25T09:53:06Z</cp:lastPrinted>
  <dcterms:created xsi:type="dcterms:W3CDTF">2004-02-25T06:39:08Z</dcterms:created>
  <dcterms:modified xsi:type="dcterms:W3CDTF">2004-02-25T09:40:58Z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