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Inc Stmt" sheetId="1" r:id="rId1"/>
    <sheet name="BSheet" sheetId="2" r:id="rId2"/>
    <sheet name="Equity" sheetId="3" r:id="rId3"/>
    <sheet name="Segment" sheetId="4" r:id="rId4"/>
    <sheet name="CashFlow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<sst xmlns="http://schemas.openxmlformats.org/spreadsheetml/2006/main" count="197" uniqueCount="169">
  <si>
    <t>TALAM CORPORATION BERHAD (1120-H)</t>
  </si>
  <si>
    <t>Condensed Consolidated Income Statements</t>
  </si>
  <si>
    <t>For the quarter ended 31st July 2003</t>
  </si>
  <si>
    <t>2003</t>
  </si>
  <si>
    <t>2002</t>
  </si>
  <si>
    <t>Current Quarter</t>
  </si>
  <si>
    <t>Comparative quarter</t>
  </si>
  <si>
    <t>6 month</t>
  </si>
  <si>
    <t>Ended 31 July</t>
  </si>
  <si>
    <t>Cumulative to-date</t>
  </si>
  <si>
    <t>RM'000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</si>
  <si>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</si>
  <si>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</si>
  <si>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</si>
  <si>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</si>
  <si>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</si>
  <si>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</si>
  <si>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</si>
  <si>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</si>
  <si>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</si>
  <si>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</si>
  <si>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</si>
  <si>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 xml:space="preserve">Earnings Per Share - Basic </t>
  </si>
  <si>
    <t xml:space="preserve">                                  - Diluted</t>
  </si>
  <si>
    <t xml:space="preserve">The Condensed Consolidated Income Statement should be read in conjunction with </t>
  </si>
  <si>
    <t>the Annual Financial Report for the year ended 31st January 2003</t>
  </si>
  <si>
    <t>Condensed Consolidated Balance Sheets</t>
  </si>
  <si>
    <t>As At 31st July 2003</t>
  </si>
  <si>
    <t>UNAUDITED</t>
  </si>
  <si>
    <t>AUDITED</t>
  </si>
  <si>
    <t>QUARTER</t>
  </si>
  <si>
    <t xml:space="preserve">AS AT </t>
  </si>
  <si>
    <t>AS AT</t>
  </si>
  <si>
    <t>PRECEDING</t>
  </si>
  <si>
    <t>FINANCIAL</t>
  </si>
  <si>
    <t>YEAR END</t>
  </si>
  <si>
    <t>31.07.2003</t>
  </si>
  <si>
    <t>31.01.2003</t>
  </si>
  <si>
    <t>RM000</t>
  </si>
  <si>
    <t>PROPERTY, PLANT AND EQUIPMENT</t>
  </si>
  <si>
    <t>LAND HELD FOR DEVELOPMENT</t>
  </si>
  <si>
    <t>INVESTMENT PROPERTIES</t>
  </si>
  <si>
    <t>SUBSIDIARIES</t>
  </si>
  <si>
    <t>ASSOCIATED COMPANIES</t>
  </si>
  <si>
    <t xml:space="preserve">GOODWILL </t>
  </si>
  <si>
    <t>SINKING FUND HELD BY TRUSTEES</t>
  </si>
  <si>
    <t>LOANS AND FINANCING RECEIVABLES</t>
  </si>
  <si>
    <t>CURRENT ASSETS</t>
  </si>
  <si>
    <t>Development properties</t>
  </si>
  <si>
    <t>Inventories</t>
  </si>
  <si>
    <t>Debtors</t>
  </si>
  <si>
    <t>Cash and cash equivalents</t>
  </si>
  <si>
    <t>Total Current Assets</t>
  </si>
  <si>
    <t>CURRENT LIABILITIES</t>
  </si>
  <si>
    <t>Short term borrowings</t>
  </si>
  <si>
    <t>Trade and other creditors</t>
  </si>
  <si>
    <t>Dividend payable</t>
  </si>
  <si>
    <t>Total Current Liabilities</t>
  </si>
  <si>
    <t>NET CURRENT ASSETS</t>
  </si>
  <si>
    <t>NET ASSETS</t>
  </si>
  <si>
    <t>Represented by:</t>
  </si>
  <si>
    <t>SHARE CAPITAL</t>
  </si>
  <si>
    <t>RESERVES</t>
  </si>
  <si>
    <t>SHAREHOLDERS' FUND</t>
  </si>
  <si>
    <t>MINORITY INTERESTS</t>
  </si>
  <si>
    <t>LONG TERM LIABILITIES</t>
  </si>
  <si>
    <t>Borrowings</t>
  </si>
  <si>
    <t>TOTAL CAPITAL EMPLOYED</t>
  </si>
  <si>
    <t xml:space="preserve">  shares in Share Capital</t>
  </si>
  <si>
    <t>Net tangible assets per share (RM) after netting off</t>
  </si>
  <si>
    <t xml:space="preserve">  212,000 Treasury Shares</t>
  </si>
  <si>
    <t xml:space="preserve">The Condensed Consolidated Balance Sheet should be read in conjunction with </t>
  </si>
  <si>
    <t>the Annual Financial Report for the year ended 31st January 2003.</t>
  </si>
  <si>
    <t>Condensed Consolidated Statements of Changes in Equity</t>
  </si>
  <si>
    <t>Share</t>
  </si>
  <si>
    <t xml:space="preserve">Treasury </t>
  </si>
  <si>
    <t>Reserve Attributable</t>
  </si>
  <si>
    <t>Retained</t>
  </si>
  <si>
    <t>6 months quarter ended 31 July 2003</t>
  </si>
  <si>
    <t>Capital</t>
  </si>
  <si>
    <t>Shares</t>
  </si>
  <si>
    <t>To Capital</t>
  </si>
  <si>
    <t>To Revenue</t>
  </si>
  <si>
    <t>Profits</t>
  </si>
  <si>
    <t>Total</t>
  </si>
  <si>
    <t>RM '000</t>
  </si>
  <si>
    <t>Balance at beginning of year</t>
  </si>
  <si>
    <t>Balance at end of year</t>
  </si>
  <si>
    <t>3 months quarter ended 30 April 2003</t>
  </si>
  <si>
    <t>Movements during the period</t>
  </si>
  <si>
    <t>Balance at end of period</t>
  </si>
  <si>
    <t xml:space="preserve">The Condensed Consolidated Statement of Changes In Equity should be read in conjunction with </t>
  </si>
  <si>
    <t>Long-Term Deferred Liabilities</t>
  </si>
  <si>
    <t>TALAM CORPORATION BERHAD (1120-h)</t>
  </si>
  <si>
    <t>Condensed Consolidated Cash Flow Statements</t>
  </si>
  <si>
    <t>Ended</t>
  </si>
  <si>
    <t>31/7/2003</t>
  </si>
  <si>
    <t>Net cash (used in) / generated from operating activities</t>
  </si>
  <si>
    <t>Net cash (used in) / generated from investing activities</t>
  </si>
  <si>
    <t>Net cash (used in) / generated from financing activities</t>
  </si>
  <si>
    <t>NET INCREASE/(DECREASE) IN CASH &amp; CASH EQUIVALENTS</t>
  </si>
  <si>
    <t>CASH &amp; CASH EQUIVALENTS AT BEGINNING OF FINANCIAL PERIOD</t>
  </si>
  <si>
    <t>CASH &amp; CASH EQUIVALENTS AT END OF FINANCIAL PERIOD</t>
  </si>
  <si>
    <t>Cash and cash equivalent at end of financial period comprise the following:</t>
  </si>
  <si>
    <t xml:space="preserve">     Cash and bank balances</t>
  </si>
  <si>
    <t xml:space="preserve">     Deposits</t>
  </si>
  <si>
    <t xml:space="preserve">     Bank Overdrafts </t>
  </si>
  <si>
    <t xml:space="preserve">     Difference</t>
  </si>
  <si>
    <t xml:space="preserve">The Condensed Consolidated Cash Flow Statement should be read in conjunction with </t>
  </si>
  <si>
    <t>For the Quarter Ended 31 July 2003</t>
  </si>
  <si>
    <t>6 months</t>
  </si>
  <si>
    <t>Unaudited Quarter</t>
  </si>
  <si>
    <t>9.</t>
  </si>
  <si>
    <t>Segmental Reporting - 31.07.2003</t>
  </si>
  <si>
    <t>a.</t>
  </si>
  <si>
    <t>Business segments</t>
  </si>
  <si>
    <t>Property investment,</t>
  </si>
  <si>
    <t>development &amp;</t>
  </si>
  <si>
    <t xml:space="preserve">Hotel &amp; </t>
  </si>
  <si>
    <t>Total before</t>
  </si>
  <si>
    <t>constuction</t>
  </si>
  <si>
    <t>Leasing</t>
  </si>
  <si>
    <t>Manufacturing</t>
  </si>
  <si>
    <t>Trading</t>
  </si>
  <si>
    <t>Education</t>
  </si>
  <si>
    <t>recreation</t>
  </si>
  <si>
    <t>elimination</t>
  </si>
  <si>
    <t>Eliminations</t>
  </si>
  <si>
    <t>Consolidated</t>
  </si>
  <si>
    <t>RM ' 000</t>
  </si>
  <si>
    <t>REVENUE</t>
  </si>
  <si>
    <t>External sales</t>
  </si>
  <si>
    <t>Inter-segment sales</t>
  </si>
  <si>
    <t>Total revenue</t>
  </si>
  <si>
    <t>RESULT</t>
  </si>
  <si>
    <t>Segment result</t>
  </si>
  <si>
    <t>Operating profit/(Loss)</t>
  </si>
  <si>
    <t>Interest expenses</t>
  </si>
  <si>
    <t>Interest income</t>
  </si>
  <si>
    <t xml:space="preserve">Share of results from </t>
  </si>
  <si>
    <t xml:space="preserve">   associated companies</t>
  </si>
  <si>
    <t>Profit before taxation</t>
  </si>
  <si>
    <t>Income taxes</t>
  </si>
  <si>
    <t>Profit after taxation</t>
  </si>
  <si>
    <t>OTHER INFORMATION</t>
  </si>
  <si>
    <t>Capital expenditure</t>
  </si>
  <si>
    <t>Depreciation</t>
  </si>
  <si>
    <t>CONSOLIDATED BALANCE SHEET</t>
  </si>
  <si>
    <t xml:space="preserve">   ASSETS</t>
  </si>
  <si>
    <t>Segment assets</t>
  </si>
  <si>
    <t>Investment in equity</t>
  </si>
  <si>
    <t xml:space="preserve">   method associates</t>
  </si>
  <si>
    <t>Consolidated total assets</t>
  </si>
  <si>
    <t>LIABILITIES</t>
  </si>
  <si>
    <t>Segment liabilities</t>
  </si>
  <si>
    <t>b.</t>
  </si>
  <si>
    <t>Geographical segments</t>
  </si>
  <si>
    <t xml:space="preserve">Sales </t>
  </si>
  <si>
    <t>Segment</t>
  </si>
  <si>
    <t>revenue</t>
  </si>
  <si>
    <t>Assets</t>
  </si>
  <si>
    <t>Malaysia</t>
  </si>
  <si>
    <t>The People's Republic of China</t>
  </si>
  <si>
    <t>Net tangible assets per share (RM) based on 215,306,000</t>
  </si>
  <si>
    <t xml:space="preserve">     Less: Short-Term Deposit Restricted In Use </t>
  </si>
  <si>
    <t xml:space="preserve">Ordinary shares issued </t>
  </si>
  <si>
    <t>Acquisition of treasury shares</t>
  </si>
  <si>
    <t>Foreign exchange differences</t>
  </si>
  <si>
    <t>Less: Proposed Dividend (4% net of tax of 28%)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</si>
</sst>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_);_(* \(#,##0.0\);_(* &quot;-&quot;??_);_(@_)"/>
  </numFmts>
  <fonts count="5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64" fontId="3" fillId="0" borderId="1" xfId="15" applyNumberFormat="1" applyFont="1" applyFill="1" applyBorder="1" applyAlignment="1" quotePrefix="1">
      <alignment horizontal="center"/>
    </xf>
    <xf numFmtId="164" fontId="3" fillId="0" borderId="2" xfId="15" applyNumberFormat="1" applyFont="1" applyFill="1" applyBorder="1" applyAlignment="1" quotePrefix="1">
      <alignment horizontal="center"/>
    </xf>
    <xf numFmtId="164" fontId="3" fillId="0" borderId="3" xfId="15" applyNumberFormat="1" applyFont="1" applyFill="1" applyBorder="1" applyAlignment="1">
      <alignment horizontal="center"/>
    </xf>
    <xf numFmtId="164" fontId="3" fillId="0" borderId="4" xfId="15" applyNumberFormat="1" applyFont="1" applyFill="1" applyBorder="1" applyAlignment="1">
      <alignment horizontal="center"/>
    </xf>
    <xf numFmtId="164" fontId="3" fillId="0" borderId="4" xfId="15" applyNumberFormat="1" applyFont="1" applyFill="1" applyBorder="1" applyAlignment="1" quotePrefix="1">
      <alignment horizontal="center"/>
    </xf>
    <xf numFmtId="164" fontId="3" fillId="0" borderId="5" xfId="15" applyNumberFormat="1" applyFont="1" applyFill="1" applyBorder="1" applyAlignment="1">
      <alignment horizontal="center"/>
    </xf>
    <xf numFmtId="164" fontId="3" fillId="0" borderId="6" xfId="15" applyNumberFormat="1" applyFont="1" applyFill="1" applyBorder="1" applyAlignment="1">
      <alignment horizontal="center"/>
    </xf>
    <xf numFmtId="164" fontId="3" fillId="0" borderId="2" xfId="15" applyNumberFormat="1" applyFont="1" applyFill="1" applyBorder="1" applyAlignment="1">
      <alignment horizontal="center"/>
    </xf>
    <xf numFmtId="164" fontId="2" fillId="0" borderId="4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164" fontId="2" fillId="0" borderId="7" xfId="15" applyNumberFormat="1" applyFont="1" applyFill="1" applyBorder="1" applyAlignment="1">
      <alignment/>
    </xf>
    <xf numFmtId="43" fontId="2" fillId="0" borderId="6" xfId="15" applyFont="1" applyFill="1" applyBorder="1" applyAlignment="1">
      <alignment/>
    </xf>
    <xf numFmtId="0" fontId="2" fillId="0" borderId="0" xfId="0" applyFont="1" applyFill="1" applyAlignment="1" quotePrefix="1">
      <alignment/>
    </xf>
    <xf numFmtId="43" fontId="2" fillId="0" borderId="7" xfId="15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8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4" fillId="0" borderId="1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15" applyNumberFormat="1" applyFont="1" applyFill="1" applyAlignment="1">
      <alignment/>
    </xf>
    <xf numFmtId="43" fontId="3" fillId="0" borderId="0" xfId="15" applyNumberFormat="1" applyFont="1" applyFill="1" applyBorder="1" applyAlignment="1">
      <alignment/>
    </xf>
    <xf numFmtId="165" fontId="2" fillId="0" borderId="11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15" applyFont="1" applyFill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 horizontal="center"/>
    </xf>
    <xf numFmtId="0" fontId="1" fillId="0" borderId="0" xfId="0" applyFont="1" applyAlignment="1" quotePrefix="1">
      <alignment/>
    </xf>
    <xf numFmtId="164" fontId="2" fillId="0" borderId="8" xfId="15" applyNumberFormat="1" applyFont="1" applyBorder="1" applyAlignment="1">
      <alignment horizontal="center"/>
    </xf>
    <xf numFmtId="15" fontId="1" fillId="0" borderId="0" xfId="0" applyNumberFormat="1" applyFont="1" applyAlignment="1" quotePrefix="1">
      <alignment/>
    </xf>
    <xf numFmtId="1" fontId="2" fillId="0" borderId="0" xfId="0" applyNumberFormat="1" applyFont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3" fillId="0" borderId="0" xfId="15" applyNumberFormat="1" applyFont="1" applyFill="1" applyAlignment="1">
      <alignment horizontal="center"/>
    </xf>
    <xf numFmtId="164" fontId="2" fillId="0" borderId="12" xfId="15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 quotePrefix="1">
      <alignment/>
    </xf>
    <xf numFmtId="37" fontId="2" fillId="0" borderId="0" xfId="15" applyNumberFormat="1" applyFont="1" applyFill="1" applyAlignment="1">
      <alignment/>
    </xf>
    <xf numFmtId="164" fontId="2" fillId="0" borderId="10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164" fontId="2" fillId="0" borderId="14" xfId="15" applyNumberFormat="1" applyFont="1" applyFill="1" applyBorder="1" applyAlignment="1">
      <alignment/>
    </xf>
    <xf numFmtId="164" fontId="2" fillId="0" borderId="8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ary\TLM_Q2'03\KLSE_Ann%20QR-July%202003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ING\Q2_July03R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ary\TLM_Q2'03\Q2_July03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ew\gary\Q2_July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ary\TLM_Q2'03\Q2_July03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Inc Sttm-TCB(annon)"/>
      <sheetName val="Cond Inc Sttm-4 Leow"/>
      <sheetName val="Inc Sttm-workings"/>
      <sheetName val="gp margin-segment"/>
      <sheetName val="GP MARGIN"/>
      <sheetName val="Condensed BS-tcb"/>
      <sheetName val="BSHEET"/>
      <sheetName val="EQUITY-tcb"/>
      <sheetName val="NOTES"/>
      <sheetName val="Segment"/>
      <sheetName val="ASSOCIATE"/>
      <sheetName val="DEPN &amp; AMOR"/>
      <sheetName val="WEIGHTED-30 APR 2003"/>
      <sheetName val="WEIGHTED-31 JAN 2003"/>
      <sheetName val="WEIGHTED-31JULY2002"/>
      <sheetName val="FINANCE COST"/>
      <sheetName val="RPT"/>
      <sheetName val="Detailed CF-31.1.2003"/>
      <sheetName val="Condensed CF-31.1.2003"/>
      <sheetName val="CF-workings31.1.2003"/>
      <sheetName val="Workings"/>
      <sheetName val="CONT LIAB"/>
    </sheetNames>
    <sheetDataSet>
      <sheetData sheetId="0">
        <row r="1">
          <cell r="A1" t="str">
            <v>TALAM CORPORATION BERHAD (1120-H)</v>
          </cell>
        </row>
      </sheetData>
      <sheetData sheetId="1">
        <row r="11">
          <cell r="D11">
            <v>170523.9211708</v>
          </cell>
          <cell r="E11">
            <v>257218</v>
          </cell>
          <cell r="F11">
            <v>390358.9211708</v>
          </cell>
          <cell r="G11">
            <v>489038</v>
          </cell>
        </row>
        <row r="13">
          <cell r="D13">
            <v>-122741.14708560001</v>
          </cell>
          <cell r="E13">
            <v>-223771</v>
          </cell>
          <cell r="F13">
            <v>-307709.1470856</v>
          </cell>
          <cell r="G13">
            <v>-417305</v>
          </cell>
        </row>
        <row r="20">
          <cell r="D20">
            <v>-33945.34188119418</v>
          </cell>
          <cell r="E20">
            <v>-19143</v>
          </cell>
          <cell r="F20">
            <v>-55394.34188119418</v>
          </cell>
          <cell r="G20">
            <v>-40358</v>
          </cell>
        </row>
        <row r="22">
          <cell r="D22">
            <v>10040.0981752</v>
          </cell>
          <cell r="E22">
            <v>8510</v>
          </cell>
          <cell r="F22">
            <v>15100.0981752</v>
          </cell>
          <cell r="G22">
            <v>15621</v>
          </cell>
        </row>
        <row r="27">
          <cell r="D27">
            <v>-9188.0019848</v>
          </cell>
          <cell r="E27">
            <v>-6749</v>
          </cell>
          <cell r="F27">
            <v>-13833.0019848</v>
          </cell>
          <cell r="G27">
            <v>-11576</v>
          </cell>
        </row>
        <row r="29">
          <cell r="D29">
            <v>5803.756551200002</v>
          </cell>
          <cell r="E29">
            <v>844</v>
          </cell>
          <cell r="F29">
            <v>5757.756551200002</v>
          </cell>
          <cell r="G29">
            <v>-270</v>
          </cell>
        </row>
        <row r="32">
          <cell r="D32">
            <v>-9244.73568</v>
          </cell>
          <cell r="E32">
            <v>-7023</v>
          </cell>
          <cell r="F32">
            <v>-13519.73568</v>
          </cell>
          <cell r="G32">
            <v>-12536</v>
          </cell>
        </row>
        <row r="36">
          <cell r="F36">
            <v>20760.549265605805</v>
          </cell>
        </row>
        <row r="40">
          <cell r="D40">
            <v>138.83909816808477</v>
          </cell>
          <cell r="E40">
            <v>1</v>
          </cell>
          <cell r="F40">
            <v>2004.8390981680848</v>
          </cell>
          <cell r="G40">
            <v>819</v>
          </cell>
        </row>
        <row r="43">
          <cell r="D43">
            <v>5.293283733840575</v>
          </cell>
          <cell r="E43">
            <v>4.592623560014864</v>
          </cell>
          <cell r="F43">
            <v>10.58400050738326</v>
          </cell>
          <cell r="G43">
            <v>10.884388499233593</v>
          </cell>
        </row>
      </sheetData>
      <sheetData sheetId="6">
        <row r="13">
          <cell r="G13">
            <v>283656.61435174727</v>
          </cell>
        </row>
        <row r="14">
          <cell r="G14">
            <v>577989.43989</v>
          </cell>
        </row>
        <row r="15">
          <cell r="G15">
            <v>173411.1143727242</v>
          </cell>
        </row>
        <row r="16">
          <cell r="G16">
            <v>0.00031000006198883057</v>
          </cell>
        </row>
        <row r="17">
          <cell r="G17">
            <v>78039.489724526</v>
          </cell>
        </row>
        <row r="18">
          <cell r="G18">
            <v>6072.153686677739</v>
          </cell>
        </row>
        <row r="19">
          <cell r="G19">
            <v>25013.754</v>
          </cell>
        </row>
        <row r="20">
          <cell r="G20">
            <v>4341.295</v>
          </cell>
        </row>
        <row r="24">
          <cell r="G24">
            <v>863930.6809271459</v>
          </cell>
        </row>
        <row r="25">
          <cell r="G25">
            <v>32615.5334013</v>
          </cell>
        </row>
        <row r="26">
          <cell r="G26">
            <v>19167.109623799977</v>
          </cell>
        </row>
        <row r="27">
          <cell r="G27">
            <v>194114.90355709998</v>
          </cell>
        </row>
        <row r="28">
          <cell r="G28">
            <v>276084.9781831</v>
          </cell>
        </row>
        <row r="29">
          <cell r="G29">
            <v>394498.11024879996</v>
          </cell>
        </row>
        <row r="34">
          <cell r="G34">
            <v>4515.715</v>
          </cell>
        </row>
        <row r="35">
          <cell r="G35">
            <v>214265.8535762</v>
          </cell>
        </row>
        <row r="36">
          <cell r="G36">
            <v>7963.264</v>
          </cell>
        </row>
        <row r="37">
          <cell r="G37">
            <v>223800.048252065</v>
          </cell>
        </row>
        <row r="38">
          <cell r="G38">
            <v>745653.1674535001</v>
          </cell>
        </row>
        <row r="39">
          <cell r="G39">
            <v>76035.72810580001</v>
          </cell>
        </row>
        <row r="50">
          <cell r="G50">
            <v>215306</v>
          </cell>
        </row>
        <row r="52">
          <cell r="K52">
            <v>-0.47099999999045394</v>
          </cell>
        </row>
        <row r="53">
          <cell r="K53">
            <v>-5.751248361986654</v>
          </cell>
        </row>
        <row r="54">
          <cell r="K54">
            <v>0.4390551999986201</v>
          </cell>
        </row>
        <row r="56">
          <cell r="G56">
            <v>591826.5566035386</v>
          </cell>
        </row>
        <row r="61">
          <cell r="G61">
            <v>23342.244200876954</v>
          </cell>
        </row>
        <row r="63">
          <cell r="G63">
            <v>28528.875</v>
          </cell>
        </row>
        <row r="64">
          <cell r="G64">
            <v>110000</v>
          </cell>
        </row>
        <row r="65">
          <cell r="G65">
            <v>0</v>
          </cell>
        </row>
        <row r="66">
          <cell r="G66">
            <v>3790.395528963536</v>
          </cell>
        </row>
        <row r="67">
          <cell r="G67">
            <v>899390.657944042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Group"/>
      <sheetName val="conso-4 tan sri"/>
      <sheetName val="Consol"/>
      <sheetName val="P&amp;Ldetail"/>
      <sheetName val="China"/>
      <sheetName val="Sheet1"/>
      <sheetName val="D4"/>
      <sheetName val="Asso"/>
      <sheetName val="MI"/>
      <sheetName val="Inter co"/>
      <sheetName val="CrystalA"/>
      <sheetName val="TCB"/>
      <sheetName val="Maxisegar"/>
      <sheetName val="Galian Juta"/>
      <sheetName val="Abra Devt"/>
      <sheetName val="Talam Larut"/>
      <sheetName val="M.P."/>
      <sheetName val="Masterwaves"/>
      <sheetName val="Lebbey"/>
      <sheetName val="Mudi Angkasa"/>
      <sheetName val="Maxi const"/>
      <sheetName val="Maxi Realty"/>
      <sheetName val="Suria"/>
      <sheetName val="Ideal"/>
      <sheetName val="Medic"/>
      <sheetName val="PI Mgt"/>
      <sheetName val="Noble"/>
      <sheetName val="Inti"/>
      <sheetName val="Maxdale"/>
      <sheetName val="TMC"/>
      <sheetName val="TI"/>
      <sheetName val="B Sentosa"/>
      <sheetName val="T.Leisure"/>
      <sheetName val="Ulu Yam"/>
      <sheetName val="Baiduri"/>
      <sheetName val="Zillion"/>
      <sheetName val="Cekap "/>
      <sheetName val="GL Devt"/>
      <sheetName val="Profil"/>
      <sheetName val="T Prop"/>
      <sheetName val="New Court"/>
      <sheetName val="Ambang"/>
      <sheetName val="Gemapantas"/>
      <sheetName val="Juara Tiasa"/>
      <sheetName val="Trading"/>
      <sheetName val="PBB"/>
      <sheetName val="LTIMS"/>
      <sheetName val="Noblepace"/>
      <sheetName val="KLPB"/>
      <sheetName val="PKembar"/>
      <sheetName val="Sheet2"/>
      <sheetName val="TGagah"/>
      <sheetName val="T Manu"/>
      <sheetName val="Talam Refri"/>
      <sheetName val="T Patkol"/>
      <sheetName val="ice"/>
      <sheetName val="Perotech"/>
      <sheetName val="maximix"/>
      <sheetName val="Kekwa"/>
      <sheetName val="ARF"/>
      <sheetName val="Usaharapat"/>
      <sheetName val="Tractors"/>
      <sheetName val="Plant"/>
      <sheetName val="TCHK"/>
      <sheetName val="TCHK-Asso"/>
      <sheetName val="TMSHK"/>
      <sheetName val="Edu Hold"/>
      <sheetName val="Lansuniaga"/>
      <sheetName val="Korwin"/>
      <sheetName val="TPlant Hold"/>
      <sheetName val="TMSSB"/>
      <sheetName val="Gallant"/>
      <sheetName val="GGRD"/>
      <sheetName val="Era Casa"/>
      <sheetName val="Malim"/>
      <sheetName val="Jilin Ruyi"/>
      <sheetName val="Layatama"/>
      <sheetName val="TResources"/>
      <sheetName val="Winax"/>
      <sheetName val="Regobase"/>
      <sheetName val="Parkgrove"/>
      <sheetName val="Noble Hse"/>
      <sheetName val="Leasing"/>
      <sheetName val="T Hotel"/>
      <sheetName val="Maxi Edu"/>
      <sheetName val="Aman"/>
      <sheetName val="Lanjut"/>
      <sheetName val="T Sec"/>
      <sheetName val="Gen.Food"/>
      <sheetName val="T Res SB"/>
      <sheetName val="Vision"/>
      <sheetName val="Erat"/>
      <sheetName val="Ratus"/>
      <sheetName val="Ex.Factor"/>
      <sheetName val="PerkasaJati"/>
      <sheetName val="S308"/>
      <sheetName val="board"/>
      <sheetName val="T Plant"/>
    </sheetNames>
    <sheetDataSet>
      <sheetData sheetId="3">
        <row r="175">
          <cell r="EN175">
            <v>35053236.248799995</v>
          </cell>
        </row>
        <row r="176">
          <cell r="EN176">
            <v>359394449</v>
          </cell>
        </row>
        <row r="177">
          <cell r="EN177">
            <v>50425</v>
          </cell>
        </row>
        <row r="192">
          <cell r="EN192">
            <v>30975013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Group"/>
      <sheetName val="conso-4 tan sri"/>
      <sheetName val="Consol"/>
      <sheetName val="P&amp;Ldetail"/>
      <sheetName val="China"/>
      <sheetName val="Sheet1"/>
      <sheetName val="D4"/>
      <sheetName val="Asso"/>
      <sheetName val="MI"/>
      <sheetName val="Inter co"/>
      <sheetName val="CrystalA"/>
      <sheetName val="TCB"/>
      <sheetName val="Maxisegar"/>
      <sheetName val="Galian Juta"/>
      <sheetName val="Abra Devt"/>
      <sheetName val="Talam Larut"/>
      <sheetName val="M.P."/>
      <sheetName val="Masterwaves"/>
      <sheetName val="Lebbey"/>
      <sheetName val="Mudi Angkasa"/>
      <sheetName val="Maxi const"/>
      <sheetName val="Maxi Realty"/>
      <sheetName val="Suria"/>
      <sheetName val="Ideal"/>
      <sheetName val="Medic"/>
      <sheetName val="PI Mgt"/>
      <sheetName val="Noble"/>
      <sheetName val="Inti"/>
      <sheetName val="Maxdale"/>
      <sheetName val="TMC"/>
      <sheetName val="TI"/>
      <sheetName val="B Sentosa"/>
      <sheetName val="T.Leisure"/>
      <sheetName val="Ulu Yam"/>
      <sheetName val="Baiduri"/>
      <sheetName val="Zillion"/>
      <sheetName val="Cekap "/>
      <sheetName val="GL Devt"/>
      <sheetName val="Profil"/>
      <sheetName val="T Prop"/>
      <sheetName val="New Court"/>
      <sheetName val="Ambang"/>
      <sheetName val="Gemapantas"/>
      <sheetName val="Juara Tiasa"/>
      <sheetName val="Trading"/>
      <sheetName val="PBB"/>
      <sheetName val="LTIMS"/>
      <sheetName val="Noblepace"/>
      <sheetName val="KLPB"/>
      <sheetName val="PKembar"/>
      <sheetName val="Sheet2"/>
      <sheetName val="TGagah"/>
      <sheetName val="T Manu"/>
      <sheetName val="Talam Refri"/>
      <sheetName val="T Patkol"/>
      <sheetName val="ice"/>
      <sheetName val="Perotech"/>
      <sheetName val="maximix"/>
      <sheetName val="Kekwa"/>
      <sheetName val="ARF"/>
      <sheetName val="Usaharapat"/>
      <sheetName val="Tractors"/>
      <sheetName val="Plant"/>
      <sheetName val="TCHK"/>
      <sheetName val="TCHK-Asso"/>
      <sheetName val="TMSHK"/>
      <sheetName val="Edu Hold"/>
      <sheetName val="Lansuniaga"/>
      <sheetName val="Korwin"/>
      <sheetName val="TPlant Hold"/>
      <sheetName val="TMSSB"/>
      <sheetName val="Gallant"/>
      <sheetName val="GGRD"/>
      <sheetName val="Era Casa"/>
      <sheetName val="Malim"/>
      <sheetName val="Jilin Ruyi"/>
      <sheetName val="Layatama"/>
      <sheetName val="TResources"/>
      <sheetName val="Winax"/>
      <sheetName val="Regobase"/>
      <sheetName val="Parkgrove"/>
      <sheetName val="Noble Hse"/>
      <sheetName val="Leasing"/>
      <sheetName val="T Hotel"/>
      <sheetName val="Maxi Edu"/>
      <sheetName val="Aman"/>
      <sheetName val="Lanjut"/>
      <sheetName val="T Sec"/>
      <sheetName val="Gen.Food"/>
      <sheetName val="T Res SB"/>
      <sheetName val="Vision"/>
      <sheetName val="Erat"/>
      <sheetName val="Ratus"/>
      <sheetName val="Ex.Factor"/>
      <sheetName val="PerkasaJati"/>
      <sheetName val="S308"/>
      <sheetName val="board"/>
      <sheetName val="T Plant"/>
    </sheetNames>
    <sheetDataSet>
      <sheetData sheetId="3">
        <row r="14">
          <cell r="BV14">
            <v>-659393</v>
          </cell>
          <cell r="BY14">
            <v>-994066.5</v>
          </cell>
          <cell r="CG14">
            <v>-18460245</v>
          </cell>
        </row>
        <row r="35">
          <cell r="EN35">
            <v>7839857</v>
          </cell>
        </row>
        <row r="41">
          <cell r="EN41">
            <v>-13833001.9848</v>
          </cell>
        </row>
        <row r="47">
          <cell r="EN47">
            <v>5757756.5512000015</v>
          </cell>
        </row>
        <row r="50">
          <cell r="EN50">
            <v>34280284.94560578</v>
          </cell>
        </row>
        <row r="54">
          <cell r="EO54">
            <v>-13519735.68</v>
          </cell>
        </row>
        <row r="675">
          <cell r="EN675">
            <v>21909</v>
          </cell>
        </row>
        <row r="676">
          <cell r="EN676">
            <v>330528981</v>
          </cell>
        </row>
        <row r="677">
          <cell r="EN677">
            <v>6049901</v>
          </cell>
        </row>
        <row r="678">
          <cell r="EN678">
            <v>4068422.5</v>
          </cell>
        </row>
        <row r="681">
          <cell r="EN681">
            <v>0</v>
          </cell>
        </row>
        <row r="684">
          <cell r="EN684">
            <v>3821886</v>
          </cell>
        </row>
        <row r="755">
          <cell r="EN755">
            <v>50292784.55500001</v>
          </cell>
        </row>
        <row r="756">
          <cell r="EN756">
            <v>50768012.502631575</v>
          </cell>
        </row>
        <row r="757">
          <cell r="EN757">
            <v>80703717.34</v>
          </cell>
        </row>
        <row r="758">
          <cell r="EN758">
            <v>70502261</v>
          </cell>
        </row>
        <row r="759">
          <cell r="EN759">
            <v>169064693.3481</v>
          </cell>
        </row>
        <row r="766">
          <cell r="EN766">
            <v>-586336421.8199999</v>
          </cell>
        </row>
        <row r="767">
          <cell r="EN767">
            <v>2129154771</v>
          </cell>
        </row>
        <row r="768">
          <cell r="EN768">
            <v>31431397</v>
          </cell>
        </row>
        <row r="769">
          <cell r="EN769">
            <v>35768519</v>
          </cell>
        </row>
        <row r="770">
          <cell r="EN770">
            <v>52598345.769765</v>
          </cell>
        </row>
        <row r="771">
          <cell r="EN771">
            <v>71303797</v>
          </cell>
        </row>
        <row r="772">
          <cell r="EN772">
            <v>61613559</v>
          </cell>
        </row>
        <row r="773">
          <cell r="EN773">
            <v>55868481</v>
          </cell>
        </row>
        <row r="774">
          <cell r="EN774">
            <v>121275342.28854202</v>
          </cell>
        </row>
        <row r="775">
          <cell r="EN775">
            <v>254644630.01000005</v>
          </cell>
        </row>
        <row r="1070">
          <cell r="EN1070">
            <v>2730200632.3598948</v>
          </cell>
        </row>
        <row r="1090">
          <cell r="EN1090">
            <v>6119502.6707999995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Group"/>
      <sheetName val="conso-4 tan sri"/>
      <sheetName val="Consol"/>
      <sheetName val="P&amp;Ldetail"/>
      <sheetName val="China"/>
      <sheetName val="Sheet1"/>
      <sheetName val="D4"/>
      <sheetName val="Asso"/>
      <sheetName val="MI"/>
      <sheetName val="Inter co"/>
      <sheetName val="CrystalA"/>
      <sheetName val="TCB"/>
      <sheetName val="Maxisegar"/>
      <sheetName val="Galian Juta"/>
      <sheetName val="Abra Devt"/>
      <sheetName val="Talam Larut"/>
      <sheetName val="M.P."/>
      <sheetName val="Masterwaves"/>
      <sheetName val="Lebbey"/>
      <sheetName val="Mudi Angkasa"/>
      <sheetName val="Maxi const"/>
      <sheetName val="Maxi Realty"/>
      <sheetName val="Suria"/>
      <sheetName val="Ideal"/>
      <sheetName val="Medic"/>
      <sheetName val="PI Mgt"/>
      <sheetName val="Noble"/>
      <sheetName val="Inti"/>
      <sheetName val="Maxdale"/>
      <sheetName val="TMC"/>
      <sheetName val="TI"/>
      <sheetName val="B Sentosa"/>
      <sheetName val="T.Leisure"/>
      <sheetName val="Ulu Yam"/>
      <sheetName val="Baiduri"/>
      <sheetName val="Zillion"/>
      <sheetName val="Cekap "/>
      <sheetName val="GL Devt"/>
      <sheetName val="Profil"/>
      <sheetName val="T Prop"/>
      <sheetName val="New Court"/>
      <sheetName val="Ambang"/>
      <sheetName val="Gemapantas"/>
      <sheetName val="Juara Tiasa"/>
      <sheetName val="Trading"/>
      <sheetName val="PBB"/>
      <sheetName val="LTIMS"/>
      <sheetName val="Noblepace"/>
      <sheetName val="KLPB"/>
      <sheetName val="PKembar"/>
      <sheetName val="Sheet2"/>
      <sheetName val="TGagah"/>
      <sheetName val="T Manu"/>
      <sheetName val="Talam Refri"/>
      <sheetName val="T Patkol"/>
      <sheetName val="ice"/>
      <sheetName val="Perotech"/>
      <sheetName val="maximix"/>
      <sheetName val="Kekwa"/>
      <sheetName val="ARF"/>
      <sheetName val="Usaharapat"/>
      <sheetName val="Tractors"/>
      <sheetName val="Plant"/>
      <sheetName val="TCHK"/>
      <sheetName val="TCHK-Asso"/>
      <sheetName val="TMSHK"/>
      <sheetName val="Edu Hold"/>
      <sheetName val="Lansuniaga"/>
      <sheetName val="Korwin"/>
      <sheetName val="TPlant Hold"/>
      <sheetName val="TMSSB"/>
      <sheetName val="Gallant"/>
      <sheetName val="GGRD"/>
      <sheetName val="Era Casa"/>
      <sheetName val="Malim"/>
      <sheetName val="Jilin Ruyi"/>
      <sheetName val="Layatama"/>
      <sheetName val="TResources"/>
      <sheetName val="Winax"/>
      <sheetName val="Regobase"/>
      <sheetName val="Parkgrove"/>
      <sheetName val="Noble Hse"/>
      <sheetName val="Leasing"/>
      <sheetName val="T Hotel"/>
      <sheetName val="Maxi Edu"/>
      <sheetName val="Aman"/>
      <sheetName val="Lanjut"/>
      <sheetName val="T Sec"/>
      <sheetName val="Gen.Food"/>
      <sheetName val="T Res SB"/>
      <sheetName val="Vision"/>
      <sheetName val="Erat"/>
      <sheetName val="Ratus"/>
      <sheetName val="Ex.Factor"/>
      <sheetName val="PerkasaJati"/>
      <sheetName val="S308"/>
      <sheetName val="board"/>
      <sheetName val="T Plant"/>
    </sheetNames>
    <sheetDataSet>
      <sheetData sheetId="3">
        <row r="35">
          <cell r="EN35">
            <v>7839857</v>
          </cell>
        </row>
        <row r="41">
          <cell r="EN41">
            <v>-13833001.9848</v>
          </cell>
        </row>
        <row r="47">
          <cell r="EN47">
            <v>5757756.5512000015</v>
          </cell>
        </row>
        <row r="218">
          <cell r="EN218">
            <v>78039489.724526</v>
          </cell>
        </row>
        <row r="679">
          <cell r="EM679">
            <v>0</v>
          </cell>
          <cell r="EN679">
            <v>9710783</v>
          </cell>
        </row>
        <row r="680">
          <cell r="EM680">
            <v>0</v>
          </cell>
          <cell r="EN680">
            <v>993150</v>
          </cell>
        </row>
        <row r="682">
          <cell r="EM682">
            <v>-14978327</v>
          </cell>
          <cell r="EN682">
            <v>29044386</v>
          </cell>
        </row>
        <row r="683">
          <cell r="EN683">
            <v>6119502.6707999995</v>
          </cell>
        </row>
        <row r="711">
          <cell r="EM711">
            <v>0</v>
          </cell>
          <cell r="EN711">
            <v>2466518</v>
          </cell>
        </row>
        <row r="712">
          <cell r="EM712">
            <v>0</v>
          </cell>
          <cell r="EN712">
            <v>-499387.2977000009</v>
          </cell>
        </row>
        <row r="715">
          <cell r="EM715">
            <v>5757756.5512000015</v>
          </cell>
        </row>
        <row r="717">
          <cell r="EM717">
            <v>4930944.568105824</v>
          </cell>
        </row>
        <row r="782">
          <cell r="EN782">
            <v>235467</v>
          </cell>
        </row>
        <row r="783">
          <cell r="EN783">
            <v>449355</v>
          </cell>
        </row>
        <row r="784">
          <cell r="EN784">
            <v>121608</v>
          </cell>
        </row>
        <row r="785">
          <cell r="EN785">
            <v>0</v>
          </cell>
        </row>
        <row r="786">
          <cell r="EN786">
            <v>580254</v>
          </cell>
        </row>
        <row r="787">
          <cell r="EN787">
            <v>615282</v>
          </cell>
        </row>
        <row r="788">
          <cell r="EN788">
            <v>11542</v>
          </cell>
        </row>
        <row r="789">
          <cell r="EN789">
            <v>432342</v>
          </cell>
        </row>
        <row r="790">
          <cell r="EN790">
            <v>1439937.7377</v>
          </cell>
        </row>
        <row r="791">
          <cell r="EN791">
            <v>1014959.3</v>
          </cell>
        </row>
        <row r="962">
          <cell r="EN962">
            <v>55096</v>
          </cell>
        </row>
        <row r="963">
          <cell r="EN963">
            <v>139555</v>
          </cell>
        </row>
        <row r="964">
          <cell r="EN964">
            <v>376928</v>
          </cell>
        </row>
        <row r="965">
          <cell r="EN965">
            <v>0</v>
          </cell>
        </row>
        <row r="966">
          <cell r="EN966">
            <v>179460</v>
          </cell>
        </row>
        <row r="967">
          <cell r="EN967">
            <v>25188</v>
          </cell>
        </row>
        <row r="968">
          <cell r="EN968">
            <v>5250</v>
          </cell>
        </row>
        <row r="969">
          <cell r="EN969">
            <v>0</v>
          </cell>
        </row>
        <row r="970">
          <cell r="EN970">
            <v>205488.426</v>
          </cell>
        </row>
        <row r="971">
          <cell r="EN971">
            <v>288780</v>
          </cell>
        </row>
        <row r="1151">
          <cell r="EN1151">
            <v>1275745.426</v>
          </cell>
        </row>
        <row r="1493">
          <cell r="EN1493">
            <v>4900747.0377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Group"/>
      <sheetName val="conso-4 tan sri"/>
      <sheetName val="Consol"/>
      <sheetName val="P&amp;Ldetail"/>
      <sheetName val="China"/>
      <sheetName val="Sheet1"/>
      <sheetName val="D4"/>
      <sheetName val="Asso"/>
      <sheetName val="MI"/>
      <sheetName val="Inter co"/>
      <sheetName val="CrystalA"/>
      <sheetName val="TCB"/>
      <sheetName val="Maxisegar"/>
      <sheetName val="Galian Juta"/>
      <sheetName val="Abra Devt"/>
      <sheetName val="Talam Larut"/>
      <sheetName val="M.P."/>
      <sheetName val="Masterwaves"/>
      <sheetName val="Lebbey"/>
      <sheetName val="Mudi Angkasa"/>
      <sheetName val="Maxi const"/>
      <sheetName val="Maxi Realty"/>
      <sheetName val="Suria"/>
      <sheetName val="Ideal"/>
      <sheetName val="Medic"/>
      <sheetName val="PI Mgt"/>
      <sheetName val="Noble"/>
      <sheetName val="Inti"/>
      <sheetName val="Maxdale"/>
      <sheetName val="TMC"/>
      <sheetName val="TI"/>
      <sheetName val="B Sentosa"/>
      <sheetName val="T.Leisure"/>
      <sheetName val="Ulu Yam"/>
      <sheetName val="Baiduri"/>
      <sheetName val="Zillion"/>
      <sheetName val="Cekap "/>
      <sheetName val="GL Devt"/>
      <sheetName val="Profil"/>
      <sheetName val="T Prop"/>
      <sheetName val="New Court"/>
      <sheetName val="Ambang"/>
      <sheetName val="Gemapantas"/>
      <sheetName val="Juara Tiasa"/>
      <sheetName val="Trading"/>
      <sheetName val="PBB"/>
      <sheetName val="LTIMS"/>
      <sheetName val="Noblepace"/>
      <sheetName val="KLPB"/>
      <sheetName val="PKembar"/>
      <sheetName val="Sheet2"/>
      <sheetName val="TGagah"/>
      <sheetName val="T Manu"/>
      <sheetName val="Talam Refri"/>
      <sheetName val="T Patkol"/>
      <sheetName val="ice"/>
      <sheetName val="Perotech"/>
      <sheetName val="maximix"/>
      <sheetName val="Kekwa"/>
      <sheetName val="ARF"/>
      <sheetName val="Usaharapat"/>
      <sheetName val="Tractors"/>
      <sheetName val="Plant"/>
      <sheetName val="TCHK"/>
      <sheetName val="TCHK-Asso"/>
      <sheetName val="TMSHK"/>
      <sheetName val="Edu Hold"/>
      <sheetName val="Lansuniaga"/>
      <sheetName val="Korwin"/>
      <sheetName val="TPlant Hold"/>
      <sheetName val="TMSSB"/>
      <sheetName val="Gallant"/>
      <sheetName val="GGRD"/>
      <sheetName val="Era Casa"/>
      <sheetName val="Malim"/>
      <sheetName val="Jilin Ruyi"/>
      <sheetName val="Layatama"/>
      <sheetName val="TResources"/>
      <sheetName val="Winax"/>
      <sheetName val="Regobase"/>
      <sheetName val="Parkgrove"/>
      <sheetName val="Noble Hse"/>
      <sheetName val="Leasing"/>
      <sheetName val="T Hotel"/>
      <sheetName val="Maxi Edu"/>
      <sheetName val="Aman"/>
      <sheetName val="Lanjut"/>
      <sheetName val="T Sec"/>
      <sheetName val="Gen.Food"/>
      <sheetName val="T Res SB"/>
      <sheetName val="Vision"/>
      <sheetName val="Erat"/>
      <sheetName val="Ratus"/>
      <sheetName val="Ex.Factor"/>
      <sheetName val="PerkasaJati"/>
      <sheetName val="S308"/>
      <sheetName val="board"/>
      <sheetName val="T Plant"/>
    </sheetNames>
    <sheetDataSet>
      <sheetData sheetId="3">
        <row r="710">
          <cell r="EM710">
            <v>0</v>
          </cell>
          <cell r="EN710">
            <v>-177685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23">
      <selection activeCell="B40" sqref="B40"/>
    </sheetView>
  </sheetViews>
  <sheetFormatPr defaultColWidth="9.140625" defaultRowHeight="12.75"/>
  <cols>
    <col min="1" max="1" width="1.7109375" style="2" customWidth="1"/>
    <col min="2" max="2" width="22.140625" style="2" customWidth="1"/>
    <col min="3" max="3" width="5.57421875" style="2" customWidth="1"/>
    <col min="4" max="7" width="18.7109375" style="3" customWidth="1"/>
    <col min="8" max="8" width="10.8515625" style="2" customWidth="1"/>
    <col min="9" max="9" width="19.140625" style="2" customWidth="1"/>
    <col min="10" max="16384" width="9.140625" style="2" customWidth="1"/>
  </cols>
  <sheetData>
    <row r="1" ht="12.75">
      <c r="A1" s="1" t="s">
        <v>0</v>
      </c>
    </row>
    <row r="3" ht="12.75">
      <c r="B3" s="1" t="s">
        <v>1</v>
      </c>
    </row>
    <row r="4" ht="12.75">
      <c r="B4" s="1" t="s">
        <v>2</v>
      </c>
    </row>
    <row r="6" spans="4:7" ht="12.75">
      <c r="D6" s="4" t="s">
        <v>3</v>
      </c>
      <c r="E6" s="5" t="s">
        <v>4</v>
      </c>
      <c r="F6" s="5" t="str">
        <f>+D6</f>
        <v>2003</v>
      </c>
      <c r="G6" s="5" t="str">
        <f>+E6</f>
        <v>2002</v>
      </c>
    </row>
    <row r="7" spans="4:7" ht="12.75">
      <c r="D7" s="6" t="s">
        <v>5</v>
      </c>
      <c r="E7" s="7" t="s">
        <v>6</v>
      </c>
      <c r="F7" s="8" t="s">
        <v>7</v>
      </c>
      <c r="G7" s="8" t="str">
        <f>+F7</f>
        <v>6 month</v>
      </c>
    </row>
    <row r="8" spans="4:7" ht="12.75">
      <c r="D8" s="9" t="s">
        <v>8</v>
      </c>
      <c r="E8" s="10" t="str">
        <f>+D8</f>
        <v>Ended 31 July</v>
      </c>
      <c r="F8" s="10" t="s">
        <v>9</v>
      </c>
      <c r="G8" s="10" t="str">
        <f>+F8</f>
        <v>Cumulative to-date</v>
      </c>
    </row>
    <row r="9" spans="4:7" ht="12.75">
      <c r="D9" s="11" t="s">
        <v>10</v>
      </c>
      <c r="E9" s="11" t="s">
        <v>10</v>
      </c>
      <c r="F9" s="11" t="s">
        <v>10</v>
      </c>
      <c r="G9" s="11" t="s">
        <v>10</v>
      </c>
    </row>
    <row r="10" spans="4:7" ht="12.75">
      <c r="D10" s="12"/>
      <c r="E10" s="12"/>
      <c r="F10" s="12"/>
      <c r="G10" s="12"/>
    </row>
    <row r="11" spans="2:7" ht="12.75">
      <c r="B11" s="2" t="s">
        <v>11</v>
      </c>
      <c r="D11" s="12">
        <f>+'[1]Cond Inc Sttm-4 Leow'!D11</f>
        <v>170523.9211708</v>
      </c>
      <c r="E11" s="12">
        <f>+'[1]Cond Inc Sttm-4 Leow'!E11</f>
        <v>257218</v>
      </c>
      <c r="F11" s="12">
        <f>+'[1]Cond Inc Sttm-4 Leow'!F11</f>
        <v>390358.9211708</v>
      </c>
      <c r="G11" s="12">
        <f>+'[1]Cond Inc Sttm-4 Leow'!G11</f>
        <v>489038</v>
      </c>
    </row>
    <row r="12" spans="4:7" ht="12.75">
      <c r="D12" s="12"/>
      <c r="E12" s="12"/>
      <c r="F12" s="12"/>
      <c r="G12" s="12"/>
    </row>
    <row r="13" spans="2:9" ht="12.75">
      <c r="B13" s="2" t="s">
        <v>12</v>
      </c>
      <c r="D13" s="12">
        <f>+'[1]Cond Inc Sttm-4 Leow'!D13+'[1]Cond Inc Sttm-4 Leow'!D20</f>
        <v>-156686.4889667942</v>
      </c>
      <c r="E13" s="12">
        <f>+'[1]Cond Inc Sttm-4 Leow'!E13+'[1]Cond Inc Sttm-4 Leow'!E20</f>
        <v>-242914</v>
      </c>
      <c r="F13" s="12">
        <f>+'[1]Cond Inc Sttm-4 Leow'!F13+'[1]Cond Inc Sttm-4 Leow'!F20</f>
        <v>-363103.4889667942</v>
      </c>
      <c r="G13" s="12">
        <f>+'[1]Cond Inc Sttm-4 Leow'!G13+'[1]Cond Inc Sttm-4 Leow'!G20</f>
        <v>-457663</v>
      </c>
      <c r="I13" s="3"/>
    </row>
    <row r="14" spans="4:9" ht="12.75">
      <c r="D14" s="12"/>
      <c r="E14" s="12"/>
      <c r="F14" s="12"/>
      <c r="G14" s="12"/>
      <c r="I14" s="3"/>
    </row>
    <row r="15" spans="2:9" ht="12.75">
      <c r="B15" s="2" t="s">
        <v>13</v>
      </c>
      <c r="D15" s="12">
        <f>+'[1]Cond Inc Sttm-4 Leow'!D22</f>
        <v>10040.0981752</v>
      </c>
      <c r="E15" s="13">
        <f>+'[1]Cond Inc Sttm-4 Leow'!E22</f>
        <v>8510</v>
      </c>
      <c r="F15" s="12">
        <f>+'[1]Cond Inc Sttm-4 Leow'!F22</f>
        <v>15100.0981752</v>
      </c>
      <c r="G15" s="13">
        <f>+'[1]Cond Inc Sttm-4 Leow'!G22</f>
        <v>15621</v>
      </c>
      <c r="I15" s="3"/>
    </row>
    <row r="16" spans="2:9" ht="19.5" customHeight="1">
      <c r="B16" s="2" t="s">
        <v>14</v>
      </c>
      <c r="D16" s="14">
        <f>SUM(D11:D15)</f>
        <v>23877.530379205804</v>
      </c>
      <c r="E16" s="14">
        <f>SUM(E11:E15)</f>
        <v>22814</v>
      </c>
      <c r="F16" s="14">
        <f>SUM(F11:F15)</f>
        <v>42355.530379205775</v>
      </c>
      <c r="G16" s="14">
        <f>SUM(G11:G15)</f>
        <v>46996</v>
      </c>
      <c r="I16" s="3"/>
    </row>
    <row r="17" spans="4:9" ht="12.75" customHeight="1">
      <c r="D17" s="12"/>
      <c r="E17" s="12"/>
      <c r="F17" s="12"/>
      <c r="G17" s="12"/>
      <c r="I17" s="3"/>
    </row>
    <row r="18" spans="2:9" ht="12.75" customHeight="1">
      <c r="B18" s="2" t="s">
        <v>15</v>
      </c>
      <c r="D18" s="12">
        <f>+'[1]Cond Inc Sttm-4 Leow'!D27</f>
        <v>-9188.0019848</v>
      </c>
      <c r="E18" s="12">
        <f>+'[1]Cond Inc Sttm-4 Leow'!E27</f>
        <v>-6749</v>
      </c>
      <c r="F18" s="12">
        <f>+'[1]Cond Inc Sttm-4 Leow'!F27</f>
        <v>-13833.0019848</v>
      </c>
      <c r="G18" s="12">
        <f>+'[1]Cond Inc Sttm-4 Leow'!G27</f>
        <v>-11576</v>
      </c>
      <c r="I18" s="3"/>
    </row>
    <row r="19" spans="4:9" ht="12.75">
      <c r="D19" s="12"/>
      <c r="E19" s="12"/>
      <c r="F19" s="12">
        <f>+'[1]Inc Sttm-workings'!E32</f>
        <v>0</v>
      </c>
      <c r="G19" s="12"/>
      <c r="I19" s="3"/>
    </row>
    <row r="20" spans="2:9" ht="12.75">
      <c r="B20" s="2" t="s">
        <v>16</v>
      </c>
      <c r="D20" s="13">
        <f>+'[1]Cond Inc Sttm-4 Leow'!D29</f>
        <v>5803.756551200002</v>
      </c>
      <c r="E20" s="13">
        <f>+'[1]Cond Inc Sttm-4 Leow'!E29</f>
        <v>844</v>
      </c>
      <c r="F20" s="13">
        <f>+'[1]Cond Inc Sttm-4 Leow'!F29</f>
        <v>5757.756551200002</v>
      </c>
      <c r="G20" s="13">
        <f>+'[1]Cond Inc Sttm-4 Leow'!G29</f>
        <v>-270</v>
      </c>
      <c r="I20" s="3"/>
    </row>
    <row r="21" spans="2:7" ht="19.5" customHeight="1">
      <c r="B21" s="2" t="s">
        <v>17</v>
      </c>
      <c r="D21" s="12">
        <f>SUM(D16:D20)</f>
        <v>20493.284945605807</v>
      </c>
      <c r="E21" s="12">
        <f>SUM(E16:E20)</f>
        <v>16909</v>
      </c>
      <c r="F21" s="12">
        <f>SUM(F16:F20)</f>
        <v>34280.284945605774</v>
      </c>
      <c r="G21" s="12">
        <f>SUM(G16:G20)</f>
        <v>35150</v>
      </c>
    </row>
    <row r="22" spans="4:7" ht="12.75">
      <c r="D22" s="12"/>
      <c r="E22" s="12"/>
      <c r="F22" s="12"/>
      <c r="G22" s="12"/>
    </row>
    <row r="23" spans="2:7" ht="12.75">
      <c r="B23" s="2" t="s">
        <v>18</v>
      </c>
      <c r="D23" s="13">
        <f>+'[1]Cond Inc Sttm-4 Leow'!D32</f>
        <v>-9244.73568</v>
      </c>
      <c r="E23" s="13">
        <f>+'[1]Cond Inc Sttm-4 Leow'!E32</f>
        <v>-7023</v>
      </c>
      <c r="F23" s="13">
        <f>+'[1]Cond Inc Sttm-4 Leow'!F32</f>
        <v>-13519.73568</v>
      </c>
      <c r="G23" s="13">
        <f>+'[1]Cond Inc Sttm-4 Leow'!G32</f>
        <v>-12536</v>
      </c>
    </row>
    <row r="24" spans="2:7" ht="19.5" customHeight="1">
      <c r="B24" s="2" t="s">
        <v>19</v>
      </c>
      <c r="D24" s="12">
        <f>SUM(D21:D23)</f>
        <v>11248.549265605807</v>
      </c>
      <c r="E24" s="12">
        <f>SUM(E21:E23)</f>
        <v>9886</v>
      </c>
      <c r="F24" s="12">
        <f>SUM(F21:F23)</f>
        <v>20760.549265605776</v>
      </c>
      <c r="G24" s="12">
        <f>SUM(G21:G23)</f>
        <v>22614</v>
      </c>
    </row>
    <row r="25" spans="4:7" ht="12.75">
      <c r="D25" s="12"/>
      <c r="E25" s="12"/>
      <c r="F25" s="12"/>
      <c r="G25" s="12"/>
    </row>
    <row r="26" spans="2:7" ht="12.75">
      <c r="B26" s="2" t="s">
        <v>20</v>
      </c>
      <c r="D26" s="13">
        <f>+'[1]Cond Inc Sttm-4 Leow'!D40</f>
        <v>138.83909816808477</v>
      </c>
      <c r="E26" s="13">
        <f>+'[1]Cond Inc Sttm-4 Leow'!E40</f>
        <v>1</v>
      </c>
      <c r="F26" s="13">
        <f>+'[1]Cond Inc Sttm-4 Leow'!F40</f>
        <v>2004.8390981680848</v>
      </c>
      <c r="G26" s="13">
        <f>+'[1]Cond Inc Sttm-4 Leow'!G40</f>
        <v>819</v>
      </c>
    </row>
    <row r="27" spans="2:7" ht="19.5" customHeight="1">
      <c r="B27" s="2" t="s">
        <v>21</v>
      </c>
      <c r="D27" s="15">
        <f>SUM(D24:D26)+1</f>
        <v>11388.38836377389</v>
      </c>
      <c r="E27" s="15">
        <f>SUM(E24:E26)</f>
        <v>9887</v>
      </c>
      <c r="F27" s="15">
        <f>SUM(F24:F26)+1</f>
        <v>22766.38836377386</v>
      </c>
      <c r="G27" s="15">
        <f>SUM(G24:G26)</f>
        <v>23433</v>
      </c>
    </row>
    <row r="28" spans="4:7" ht="12.75">
      <c r="D28" s="12"/>
      <c r="E28" s="12"/>
      <c r="F28" s="12"/>
      <c r="G28" s="12"/>
    </row>
    <row r="29" spans="2:7" ht="12.75">
      <c r="B29" s="2" t="s">
        <v>22</v>
      </c>
      <c r="D29" s="16">
        <f>+'[1]Cond Inc Sttm-4 Leow'!D43</f>
        <v>5.293283733840575</v>
      </c>
      <c r="E29" s="16">
        <f>+'[1]Cond Inc Sttm-4 Leow'!E43</f>
        <v>4.592623560014864</v>
      </c>
      <c r="F29" s="16">
        <f>+'[1]Cond Inc Sttm-4 Leow'!F43</f>
        <v>10.58400050738326</v>
      </c>
      <c r="G29" s="16">
        <f>+'[1]Cond Inc Sttm-4 Leow'!G43</f>
        <v>10.884388499233593</v>
      </c>
    </row>
    <row r="30" spans="2:7" ht="12.75">
      <c r="B30" s="17" t="s">
        <v>23</v>
      </c>
      <c r="D30" s="18">
        <v>0</v>
      </c>
      <c r="E30" s="18">
        <v>0</v>
      </c>
      <c r="F30" s="18">
        <v>0</v>
      </c>
      <c r="G30" s="18">
        <v>0</v>
      </c>
    </row>
    <row r="39" ht="12.75">
      <c r="C39" s="2" t="s">
        <v>24</v>
      </c>
    </row>
    <row r="40" ht="12.75">
      <c r="C40" s="2" t="s">
        <v>25</v>
      </c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workbookViewId="0" topLeftCell="A25">
      <selection activeCell="F35" sqref="F35"/>
    </sheetView>
  </sheetViews>
  <sheetFormatPr defaultColWidth="9.140625" defaultRowHeight="12.75"/>
  <cols>
    <col min="1" max="1" width="1.7109375" style="2" customWidth="1"/>
    <col min="2" max="2" width="5.8515625" style="2" customWidth="1"/>
    <col min="3" max="3" width="9.140625" style="2" customWidth="1"/>
    <col min="4" max="4" width="10.57421875" style="2" customWidth="1"/>
    <col min="5" max="5" width="21.421875" style="2" customWidth="1"/>
    <col min="6" max="6" width="14.421875" style="2" customWidth="1"/>
    <col min="7" max="7" width="2.7109375" style="2" customWidth="1"/>
    <col min="8" max="8" width="14.8515625" style="2" customWidth="1"/>
    <col min="9" max="9" width="2.421875" style="2" customWidth="1"/>
    <col min="10" max="16384" width="9.140625" style="2" customWidth="1"/>
  </cols>
  <sheetData>
    <row r="1" spans="1:8" ht="12.75">
      <c r="A1" s="19" t="s">
        <v>0</v>
      </c>
      <c r="H1" s="20"/>
    </row>
    <row r="3" spans="2:9" ht="12.75">
      <c r="B3" s="19" t="s">
        <v>26</v>
      </c>
      <c r="C3" s="20"/>
      <c r="D3" s="20"/>
      <c r="E3" s="20"/>
      <c r="F3" s="20"/>
      <c r="G3" s="20"/>
      <c r="H3" s="20"/>
      <c r="I3" s="20"/>
    </row>
    <row r="4" spans="2:9" ht="12.75">
      <c r="B4" s="19" t="s">
        <v>27</v>
      </c>
      <c r="C4" s="20"/>
      <c r="D4" s="20"/>
      <c r="E4" s="20"/>
      <c r="F4" s="21" t="s">
        <v>28</v>
      </c>
      <c r="H4" s="21" t="s">
        <v>29</v>
      </c>
      <c r="I4" s="20"/>
    </row>
    <row r="5" spans="1:9" ht="12.75">
      <c r="A5" s="20"/>
      <c r="B5" s="20"/>
      <c r="C5" s="20"/>
      <c r="D5" s="20"/>
      <c r="E5" s="20"/>
      <c r="F5" s="21" t="s">
        <v>30</v>
      </c>
      <c r="G5" s="21"/>
      <c r="H5" s="21" t="s">
        <v>31</v>
      </c>
      <c r="I5" s="20"/>
    </row>
    <row r="6" spans="1:9" ht="12.75">
      <c r="A6" s="20"/>
      <c r="B6" s="20"/>
      <c r="C6" s="20"/>
      <c r="D6" s="20"/>
      <c r="E6" s="20"/>
      <c r="F6" s="21" t="s">
        <v>32</v>
      </c>
      <c r="G6" s="21"/>
      <c r="H6" s="21" t="s">
        <v>33</v>
      </c>
      <c r="I6" s="20"/>
    </row>
    <row r="7" spans="1:9" ht="12.75">
      <c r="A7" s="20"/>
      <c r="B7" s="20"/>
      <c r="C7" s="20"/>
      <c r="D7" s="20"/>
      <c r="E7" s="20"/>
      <c r="G7" s="21"/>
      <c r="H7" s="21" t="s">
        <v>34</v>
      </c>
      <c r="I7" s="20"/>
    </row>
    <row r="8" spans="1:9" ht="12.75">
      <c r="A8" s="21"/>
      <c r="B8" s="20"/>
      <c r="C8" s="20"/>
      <c r="D8" s="20"/>
      <c r="E8" s="20"/>
      <c r="G8" s="21"/>
      <c r="H8" s="21" t="s">
        <v>35</v>
      </c>
      <c r="I8" s="20"/>
    </row>
    <row r="9" spans="1:9" ht="12.75">
      <c r="A9" s="21"/>
      <c r="B9" s="20"/>
      <c r="C9" s="20"/>
      <c r="D9" s="20"/>
      <c r="E9" s="20"/>
      <c r="F9" s="22" t="s">
        <v>36</v>
      </c>
      <c r="G9" s="23"/>
      <c r="H9" s="22" t="s">
        <v>37</v>
      </c>
      <c r="I9" s="20"/>
    </row>
    <row r="10" spans="1:9" ht="12.75">
      <c r="A10" s="21"/>
      <c r="B10" s="20"/>
      <c r="C10" s="20"/>
      <c r="D10" s="20"/>
      <c r="E10" s="20"/>
      <c r="F10" s="21" t="s">
        <v>38</v>
      </c>
      <c r="G10" s="21"/>
      <c r="H10" s="21" t="s">
        <v>38</v>
      </c>
      <c r="I10" s="20"/>
    </row>
    <row r="11" spans="1:2" ht="12.75">
      <c r="A11" s="24"/>
      <c r="B11" s="20"/>
    </row>
    <row r="12" ht="12.75">
      <c r="A12" s="24"/>
    </row>
    <row r="13" spans="1:9" ht="12.75">
      <c r="A13" s="24"/>
      <c r="B13" s="2" t="s">
        <v>39</v>
      </c>
      <c r="F13" s="3">
        <f>'[1]BSHEET'!G13</f>
        <v>283656.61435174727</v>
      </c>
      <c r="G13" s="3"/>
      <c r="H13" s="3">
        <v>287439</v>
      </c>
      <c r="I13" s="25"/>
    </row>
    <row r="14" spans="1:8" ht="12.75">
      <c r="A14" s="24"/>
      <c r="B14" s="2" t="s">
        <v>40</v>
      </c>
      <c r="F14" s="3">
        <f>'[1]BSHEET'!G14</f>
        <v>577989.43989</v>
      </c>
      <c r="G14" s="3"/>
      <c r="H14" s="3">
        <v>556597</v>
      </c>
    </row>
    <row r="15" spans="1:8" ht="12.75">
      <c r="A15" s="24"/>
      <c r="B15" s="2" t="s">
        <v>41</v>
      </c>
      <c r="F15" s="3">
        <f>'[1]BSHEET'!G15</f>
        <v>173411.1143727242</v>
      </c>
      <c r="G15" s="3"/>
      <c r="H15" s="3">
        <v>173228</v>
      </c>
    </row>
    <row r="16" spans="1:8" ht="12.75" hidden="1">
      <c r="A16" s="24"/>
      <c r="B16" s="2" t="s">
        <v>42</v>
      </c>
      <c r="F16" s="3">
        <f>+'[1]BSHEET'!G16</f>
        <v>0.00031000006198883057</v>
      </c>
      <c r="G16" s="3"/>
      <c r="H16" s="3">
        <v>0</v>
      </c>
    </row>
    <row r="17" spans="1:8" ht="12.75">
      <c r="A17" s="24"/>
      <c r="B17" s="2" t="s">
        <v>43</v>
      </c>
      <c r="F17" s="3">
        <f>'[1]BSHEET'!G17</f>
        <v>78039.489724526</v>
      </c>
      <c r="G17" s="3"/>
      <c r="H17" s="3">
        <v>69077</v>
      </c>
    </row>
    <row r="18" spans="1:8" ht="12.75">
      <c r="A18" s="24"/>
      <c r="B18" s="2" t="s">
        <v>44</v>
      </c>
      <c r="F18" s="3">
        <f>'[1]BSHEET'!G18</f>
        <v>6072.153686677739</v>
      </c>
      <c r="G18" s="3"/>
      <c r="H18" s="3">
        <v>6375</v>
      </c>
    </row>
    <row r="19" spans="1:8" ht="12.75">
      <c r="A19" s="24"/>
      <c r="B19" s="2" t="s">
        <v>45</v>
      </c>
      <c r="F19" s="3">
        <f>'[1]BSHEET'!G19</f>
        <v>25013.754</v>
      </c>
      <c r="G19" s="26"/>
      <c r="H19" s="26">
        <v>295378</v>
      </c>
    </row>
    <row r="20" spans="1:8" ht="12.75">
      <c r="A20" s="24"/>
      <c r="B20" s="2" t="s">
        <v>46</v>
      </c>
      <c r="F20" s="3">
        <f>'[1]BSHEET'!G20</f>
        <v>4341.295</v>
      </c>
      <c r="G20" s="26"/>
      <c r="H20" s="27">
        <v>5768</v>
      </c>
    </row>
    <row r="21" spans="1:8" ht="12.75">
      <c r="A21" s="24"/>
      <c r="F21" s="28">
        <f>SUM(F13:F20)</f>
        <v>1148523.8613356752</v>
      </c>
      <c r="G21" s="3"/>
      <c r="H21" s="28">
        <f>SUM(H13:H20)</f>
        <v>1393862</v>
      </c>
    </row>
    <row r="22" spans="1:8" ht="12.75">
      <c r="A22" s="24"/>
      <c r="F22" s="3"/>
      <c r="G22" s="3"/>
      <c r="H22" s="3"/>
    </row>
    <row r="23" spans="1:8" ht="12.75">
      <c r="A23" s="24"/>
      <c r="B23" s="2" t="s">
        <v>47</v>
      </c>
      <c r="F23" s="3"/>
      <c r="G23" s="3"/>
      <c r="H23" s="3"/>
    </row>
    <row r="24" spans="1:8" ht="12.75">
      <c r="A24" s="24"/>
      <c r="B24" s="20"/>
      <c r="C24" s="2" t="s">
        <v>48</v>
      </c>
      <c r="F24" s="14">
        <f>+'[1]BSHEET'!G24+1</f>
        <v>863931.6809271459</v>
      </c>
      <c r="G24" s="3"/>
      <c r="H24" s="14">
        <v>909426</v>
      </c>
    </row>
    <row r="25" spans="1:8" ht="12.75">
      <c r="A25" s="24"/>
      <c r="B25" s="20"/>
      <c r="C25" s="2" t="s">
        <v>49</v>
      </c>
      <c r="F25" s="12">
        <f>+'[1]BSHEET'!G25</f>
        <v>32615.5334013</v>
      </c>
      <c r="G25" s="3"/>
      <c r="H25" s="12">
        <v>36711</v>
      </c>
    </row>
    <row r="26" spans="1:10" ht="12.75">
      <c r="A26" s="24"/>
      <c r="B26" s="20"/>
      <c r="C26" s="2" t="s">
        <v>50</v>
      </c>
      <c r="F26" s="12">
        <f>+'[1]BSHEET'!G27+'[1]BSHEET'!G28+'[1]BSHEET'!G26</f>
        <v>489366.99136399996</v>
      </c>
      <c r="G26" s="3"/>
      <c r="H26" s="12">
        <f>12412+218943+117608</f>
        <v>348963</v>
      </c>
      <c r="J26" s="25"/>
    </row>
    <row r="27" spans="1:8" ht="12.75">
      <c r="A27" s="24"/>
      <c r="C27" s="2" t="s">
        <v>51</v>
      </c>
      <c r="F27" s="12">
        <f>+'[1]BSHEET'!G29</f>
        <v>394498.11024879996</v>
      </c>
      <c r="G27" s="3"/>
      <c r="H27" s="12">
        <v>198771</v>
      </c>
    </row>
    <row r="28" spans="1:10" ht="12.75">
      <c r="A28" s="24"/>
      <c r="C28" s="2" t="s">
        <v>52</v>
      </c>
      <c r="E28" s="25"/>
      <c r="F28" s="15">
        <f>SUM(F24:F27)</f>
        <v>1780412.3159412458</v>
      </c>
      <c r="G28" s="26"/>
      <c r="H28" s="15">
        <f>SUM(H24:H27)</f>
        <v>1493871</v>
      </c>
      <c r="I28" s="25"/>
      <c r="J28" s="25"/>
    </row>
    <row r="29" spans="1:8" ht="12.75">
      <c r="A29" s="24"/>
      <c r="F29" s="14"/>
      <c r="G29" s="3"/>
      <c r="H29" s="14"/>
    </row>
    <row r="30" spans="1:8" ht="12.75">
      <c r="A30" s="24"/>
      <c r="B30" s="2" t="s">
        <v>53</v>
      </c>
      <c r="F30" s="12"/>
      <c r="G30" s="3"/>
      <c r="H30" s="12"/>
    </row>
    <row r="31" spans="1:8" ht="12.75">
      <c r="A31" s="24"/>
      <c r="C31" s="2" t="s">
        <v>54</v>
      </c>
      <c r="F31" s="12">
        <f>+'[1]BSHEET'!G35</f>
        <v>214265.8535762</v>
      </c>
      <c r="G31" s="3"/>
      <c r="H31" s="12">
        <v>244039</v>
      </c>
    </row>
    <row r="32" spans="1:8" ht="12.75">
      <c r="A32" s="24"/>
      <c r="C32" s="2" t="s">
        <v>55</v>
      </c>
      <c r="F32" s="12">
        <f>+'[1]BSHEET'!G36+'[1]BSHEET'!G37+'[1]BSHEET'!G38+'[1]BSHEET'!G34</f>
        <v>981932.1947055651</v>
      </c>
      <c r="G32" s="3"/>
      <c r="H32" s="12">
        <f>4672+5587+172999+371586</f>
        <v>554844</v>
      </c>
    </row>
    <row r="33" spans="1:8" ht="12.75">
      <c r="A33" s="24"/>
      <c r="C33" s="2" t="s">
        <v>18</v>
      </c>
      <c r="F33" s="12">
        <f>+'[1]BSHEET'!G39</f>
        <v>76035.72810580001</v>
      </c>
      <c r="G33" s="3"/>
      <c r="H33" s="12">
        <v>72212</v>
      </c>
    </row>
    <row r="34" spans="1:8" ht="12.75" hidden="1">
      <c r="A34" s="24"/>
      <c r="C34" s="2" t="s">
        <v>56</v>
      </c>
      <c r="F34" s="12">
        <v>0</v>
      </c>
      <c r="G34" s="3"/>
      <c r="H34" s="12">
        <v>0</v>
      </c>
    </row>
    <row r="35" spans="1:8" ht="12.75">
      <c r="A35" s="24"/>
      <c r="C35" s="2" t="s">
        <v>57</v>
      </c>
      <c r="F35" s="15">
        <f>SUM(F31:F34)</f>
        <v>1272233.776387565</v>
      </c>
      <c r="G35" s="26"/>
      <c r="H35" s="15">
        <f>SUM(H31:H34)</f>
        <v>871095</v>
      </c>
    </row>
    <row r="36" spans="1:8" ht="12.75">
      <c r="A36" s="24"/>
      <c r="F36" s="26"/>
      <c r="G36" s="26"/>
      <c r="H36" s="26"/>
    </row>
    <row r="37" spans="1:8" ht="12.75">
      <c r="A37" s="24"/>
      <c r="B37" s="2" t="s">
        <v>58</v>
      </c>
      <c r="C37" s="20"/>
      <c r="D37" s="20"/>
      <c r="F37" s="3">
        <f>F28-F35</f>
        <v>508178.5395536807</v>
      </c>
      <c r="G37" s="26"/>
      <c r="H37" s="3">
        <f>H28-H35</f>
        <v>622776</v>
      </c>
    </row>
    <row r="38" spans="1:8" ht="12.75">
      <c r="A38" s="24"/>
      <c r="B38" s="20"/>
      <c r="C38" s="20"/>
      <c r="D38" s="20"/>
      <c r="F38" s="3"/>
      <c r="G38" s="26"/>
      <c r="H38" s="3"/>
    </row>
    <row r="39" spans="1:8" s="30" customFormat="1" ht="15.75" thickBot="1">
      <c r="A39" s="29"/>
      <c r="B39" s="30" t="s">
        <v>59</v>
      </c>
      <c r="F39" s="31">
        <f>+F21+F37</f>
        <v>1656702.400889356</v>
      </c>
      <c r="G39" s="32"/>
      <c r="H39" s="31">
        <f>+H21+H37</f>
        <v>2016638</v>
      </c>
    </row>
    <row r="40" spans="1:8" ht="12.75">
      <c r="A40" s="24"/>
      <c r="F40" s="3"/>
      <c r="G40" s="3"/>
      <c r="H40" s="3"/>
    </row>
    <row r="41" spans="1:8" ht="12.75">
      <c r="A41" s="24"/>
      <c r="F41" s="3"/>
      <c r="G41" s="3"/>
      <c r="H41" s="3"/>
    </row>
    <row r="42" spans="1:8" ht="12.75">
      <c r="A42" s="24"/>
      <c r="B42" s="2" t="s">
        <v>60</v>
      </c>
      <c r="F42" s="3"/>
      <c r="G42" s="3"/>
      <c r="H42" s="3"/>
    </row>
    <row r="43" spans="1:8" ht="12.75">
      <c r="A43" s="24"/>
      <c r="F43" s="3"/>
      <c r="G43" s="3"/>
      <c r="H43" s="3"/>
    </row>
    <row r="44" spans="1:8" ht="12.75">
      <c r="A44" s="24"/>
      <c r="B44" s="2" t="s">
        <v>61</v>
      </c>
      <c r="F44" s="3">
        <f>+'[1]BSHEET'!G50</f>
        <v>215306</v>
      </c>
      <c r="G44" s="3"/>
      <c r="H44" s="3">
        <v>215300</v>
      </c>
    </row>
    <row r="45" spans="1:8" ht="12.75">
      <c r="A45" s="24"/>
      <c r="B45" s="2" t="s">
        <v>62</v>
      </c>
      <c r="F45" s="3">
        <f>+'[1]BSHEET'!G56-F44-177</f>
        <v>376343.5566035386</v>
      </c>
      <c r="G45" s="3"/>
      <c r="H45" s="3">
        <f>158400+11782+11901+177874-120</f>
        <v>359837</v>
      </c>
    </row>
    <row r="46" spans="1:8" ht="12.75">
      <c r="A46" s="24"/>
      <c r="E46" s="25"/>
      <c r="F46" s="27"/>
      <c r="G46" s="26"/>
      <c r="H46" s="27"/>
    </row>
    <row r="47" spans="1:8" s="30" customFormat="1" ht="15">
      <c r="A47" s="29"/>
      <c r="B47" s="30" t="s">
        <v>63</v>
      </c>
      <c r="E47" s="33"/>
      <c r="F47" s="34">
        <f>SUM(F44:F46)</f>
        <v>591649.5566035386</v>
      </c>
      <c r="G47" s="34"/>
      <c r="H47" s="34">
        <f>SUM(H44:H46)</f>
        <v>575137</v>
      </c>
    </row>
    <row r="48" spans="1:8" ht="12.75">
      <c r="A48" s="24"/>
      <c r="E48" s="25"/>
      <c r="F48" s="3"/>
      <c r="G48" s="3"/>
      <c r="H48" s="3"/>
    </row>
    <row r="49" spans="1:8" ht="12.75">
      <c r="A49" s="24"/>
      <c r="B49" s="2" t="s">
        <v>64</v>
      </c>
      <c r="F49" s="26">
        <f>+'[1]BSHEET'!G61</f>
        <v>23342.244200876954</v>
      </c>
      <c r="G49" s="26"/>
      <c r="H49" s="26">
        <v>25347</v>
      </c>
    </row>
    <row r="50" spans="1:8" ht="12.75">
      <c r="A50" s="24"/>
      <c r="F50" s="26"/>
      <c r="G50" s="26"/>
      <c r="H50" s="26"/>
    </row>
    <row r="51" spans="1:8" ht="12.75">
      <c r="A51" s="24"/>
      <c r="B51" s="2" t="s">
        <v>65</v>
      </c>
      <c r="F51" s="26"/>
      <c r="G51" s="26"/>
      <c r="H51" s="26"/>
    </row>
    <row r="52" spans="1:8" ht="12.75">
      <c r="A52" s="24"/>
      <c r="C52" s="2" t="s">
        <v>66</v>
      </c>
      <c r="F52" s="26">
        <f>+'[1]BSHEET'!G63+'[1]BSHEET'!G64+'[1]BSHEET'!G65</f>
        <v>138528.875</v>
      </c>
      <c r="G52" s="3"/>
      <c r="H52" s="26">
        <f>34045+110000+900000</f>
        <v>1044045</v>
      </c>
    </row>
    <row r="53" spans="1:8" ht="12.75">
      <c r="A53" s="24"/>
      <c r="C53" s="2" t="s">
        <v>92</v>
      </c>
      <c r="F53" s="26">
        <f>+'[1]BSHEET'!G66+'[1]BSHEET'!G67</f>
        <v>903181.0534730055</v>
      </c>
      <c r="G53" s="3"/>
      <c r="H53" s="26">
        <f>368159+3950</f>
        <v>372109</v>
      </c>
    </row>
    <row r="54" spans="1:8" ht="12.75">
      <c r="A54" s="24"/>
      <c r="F54" s="26"/>
      <c r="G54" s="3"/>
      <c r="H54" s="3"/>
    </row>
    <row r="55" spans="1:8" s="30" customFormat="1" ht="15.75" thickBot="1">
      <c r="A55" s="29"/>
      <c r="B55" s="30" t="s">
        <v>67</v>
      </c>
      <c r="F55" s="31">
        <f>SUM(F47:F53)</f>
        <v>1656701.729277421</v>
      </c>
      <c r="G55" s="32"/>
      <c r="H55" s="31">
        <f>SUM(H47:H53)</f>
        <v>2016638</v>
      </c>
    </row>
    <row r="56" spans="1:8" ht="12.75">
      <c r="A56" s="24"/>
      <c r="F56" s="3"/>
      <c r="G56" s="26"/>
      <c r="H56" s="3"/>
    </row>
    <row r="57" spans="2:8" ht="12.75">
      <c r="B57" s="2" t="s">
        <v>163</v>
      </c>
      <c r="C57" s="20"/>
      <c r="D57" s="20"/>
      <c r="E57" s="20"/>
      <c r="F57" s="35"/>
      <c r="G57" s="35"/>
      <c r="H57" s="35"/>
    </row>
    <row r="58" spans="2:8" ht="13.5" thickBot="1">
      <c r="B58" s="2" t="s">
        <v>68</v>
      </c>
      <c r="F58" s="36">
        <f>(+F47-F18)/F44</f>
        <v>2.719744934729459</v>
      </c>
      <c r="G58" s="37"/>
      <c r="H58" s="36">
        <f>(+H47-H18+120)/H44</f>
        <v>2.642275894101254</v>
      </c>
    </row>
    <row r="59" ht="13.5" thickTop="1">
      <c r="G59" s="38"/>
    </row>
    <row r="60" spans="2:7" ht="12.75">
      <c r="B60" s="2" t="s">
        <v>69</v>
      </c>
      <c r="G60" s="38"/>
    </row>
    <row r="61" spans="2:8" ht="13.5" thickBot="1">
      <c r="B61" s="2" t="s">
        <v>70</v>
      </c>
      <c r="F61" s="36">
        <f>(+F47-F18)/(+F44-212)</f>
        <v>2.7224255577415497</v>
      </c>
      <c r="G61" s="37"/>
      <c r="H61" s="36">
        <f>(+H47-H18)/(+H44-142)</f>
        <v>2.6434620139618326</v>
      </c>
    </row>
    <row r="62" ht="13.5" thickTop="1"/>
    <row r="63" spans="6:7" ht="12.75">
      <c r="F63" s="39"/>
      <c r="G63" s="39"/>
    </row>
    <row r="65" spans="3:4" ht="12.75">
      <c r="C65" s="40" t="s">
        <v>71</v>
      </c>
      <c r="D65" s="40"/>
    </row>
    <row r="66" spans="3:4" ht="12.75">
      <c r="C66" s="40" t="s">
        <v>72</v>
      </c>
      <c r="D66" s="40"/>
    </row>
  </sheetData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E1">
      <selection activeCell="G20" sqref="G20"/>
    </sheetView>
  </sheetViews>
  <sheetFormatPr defaultColWidth="9.140625" defaultRowHeight="12.75"/>
  <cols>
    <col min="1" max="1" width="1.7109375" style="40" customWidth="1"/>
    <col min="2" max="2" width="38.57421875" style="40" customWidth="1"/>
    <col min="3" max="8" width="16.7109375" style="41" customWidth="1"/>
    <col min="9" max="10" width="9.140625" style="40" customWidth="1"/>
    <col min="11" max="12" width="11.28125" style="40" customWidth="1"/>
    <col min="13" max="16384" width="9.140625" style="40" customWidth="1"/>
  </cols>
  <sheetData>
    <row r="1" ht="12.75">
      <c r="A1" s="19" t="str">
        <f>+'[1]Condensed Inc Sttm-TCB(annon)'!A1</f>
        <v>TALAM CORPORATION BERHAD (1120-H)</v>
      </c>
    </row>
    <row r="3" ht="12.75">
      <c r="B3" s="19" t="s">
        <v>73</v>
      </c>
    </row>
    <row r="4" ht="12.75">
      <c r="B4" s="19" t="s">
        <v>2</v>
      </c>
    </row>
    <row r="7" spans="3:7" ht="12.75">
      <c r="C7" s="42" t="s">
        <v>74</v>
      </c>
      <c r="D7" s="42" t="s">
        <v>75</v>
      </c>
      <c r="E7" s="42" t="s">
        <v>76</v>
      </c>
      <c r="F7" s="42" t="s">
        <v>76</v>
      </c>
      <c r="G7" s="42" t="s">
        <v>77</v>
      </c>
    </row>
    <row r="8" spans="2:8" ht="12.75">
      <c r="B8" s="43" t="s">
        <v>78</v>
      </c>
      <c r="C8" s="44" t="s">
        <v>79</v>
      </c>
      <c r="D8" s="44" t="s">
        <v>80</v>
      </c>
      <c r="E8" s="44" t="s">
        <v>81</v>
      </c>
      <c r="F8" s="44" t="s">
        <v>82</v>
      </c>
      <c r="G8" s="44" t="s">
        <v>83</v>
      </c>
      <c r="H8" s="44" t="s">
        <v>84</v>
      </c>
    </row>
    <row r="9" spans="2:11" ht="12.75">
      <c r="B9" s="45"/>
      <c r="C9" s="42" t="s">
        <v>85</v>
      </c>
      <c r="D9" s="42" t="s">
        <v>85</v>
      </c>
      <c r="E9" s="42" t="s">
        <v>85</v>
      </c>
      <c r="F9" s="42" t="s">
        <v>85</v>
      </c>
      <c r="G9" s="42" t="s">
        <v>85</v>
      </c>
      <c r="H9" s="42" t="s">
        <v>85</v>
      </c>
      <c r="K9" s="46"/>
    </row>
    <row r="11" spans="2:8" ht="12.75">
      <c r="B11" s="40" t="s">
        <v>86</v>
      </c>
      <c r="C11" s="41">
        <f>215300</f>
        <v>215300</v>
      </c>
      <c r="D11" s="41">
        <f>-120</f>
        <v>-120</v>
      </c>
      <c r="E11" s="41">
        <f>182083</f>
        <v>182083</v>
      </c>
      <c r="F11" s="41">
        <f>F32</f>
        <v>0</v>
      </c>
      <c r="G11" s="41">
        <f>177874</f>
        <v>177874</v>
      </c>
      <c r="H11" s="41">
        <f>SUM(C11:G11)</f>
        <v>575137</v>
      </c>
    </row>
    <row r="13" spans="2:8" ht="12.75">
      <c r="B13" s="40" t="s">
        <v>165</v>
      </c>
      <c r="C13" s="47">
        <f>6</f>
        <v>6</v>
      </c>
      <c r="D13" s="41">
        <f>0</f>
        <v>0</v>
      </c>
      <c r="E13" s="41">
        <f>0</f>
        <v>0</v>
      </c>
      <c r="F13" s="41">
        <f>0</f>
        <v>0</v>
      </c>
      <c r="G13" s="41">
        <f>0</f>
        <v>0</v>
      </c>
      <c r="H13" s="41">
        <f>SUM(C13:G13)</f>
        <v>6</v>
      </c>
    </row>
    <row r="15" spans="2:8" ht="12.75">
      <c r="B15" s="40" t="s">
        <v>166</v>
      </c>
      <c r="C15" s="41">
        <f>0</f>
        <v>0</v>
      </c>
      <c r="D15" s="41">
        <f>-57</f>
        <v>-57</v>
      </c>
      <c r="E15" s="41">
        <f>0</f>
        <v>0</v>
      </c>
      <c r="F15" s="41">
        <f>0</f>
        <v>0</v>
      </c>
      <c r="G15" s="41">
        <f>0</f>
        <v>0</v>
      </c>
      <c r="H15" s="41">
        <f>SUM(C15:G15)</f>
        <v>-57</v>
      </c>
    </row>
    <row r="17" spans="2:8" ht="12.75">
      <c r="B17" s="40" t="s">
        <v>167</v>
      </c>
      <c r="C17" s="41">
        <f>0</f>
        <v>0</v>
      </c>
      <c r="D17" s="41">
        <f>0</f>
        <v>0</v>
      </c>
      <c r="E17" s="47">
        <f>SUM('[1]BSHEET'!K52:K54)</f>
        <v>-5.783193161978488</v>
      </c>
      <c r="F17" s="41">
        <f>0</f>
        <v>0</v>
      </c>
      <c r="G17" s="41">
        <f>0</f>
        <v>0</v>
      </c>
      <c r="H17" s="41">
        <f>SUM(C17:G17)</f>
        <v>-5.783193161978488</v>
      </c>
    </row>
    <row r="18" ht="12.75">
      <c r="E18" s="47"/>
    </row>
    <row r="19" spans="2:8" ht="12.75">
      <c r="B19" s="40" t="s">
        <v>21</v>
      </c>
      <c r="C19" s="59">
        <f>0</f>
        <v>0</v>
      </c>
      <c r="D19" s="59">
        <f>0</f>
        <v>0</v>
      </c>
      <c r="E19" s="59">
        <f>0</f>
        <v>0</v>
      </c>
      <c r="F19" s="59">
        <f>0</f>
        <v>0</v>
      </c>
      <c r="G19" s="59">
        <f>'Inc Stmt'!F27</f>
        <v>22766.38836377386</v>
      </c>
      <c r="H19" s="59">
        <f>SUM(C19:G19)</f>
        <v>22766.38836377386</v>
      </c>
    </row>
    <row r="20" spans="3:8" ht="12.75">
      <c r="C20" s="47">
        <f aca="true" t="shared" si="0" ref="C20:H20">SUM(C11:C19)</f>
        <v>215306</v>
      </c>
      <c r="D20" s="47">
        <f t="shared" si="0"/>
        <v>-177</v>
      </c>
      <c r="E20" s="47">
        <f t="shared" si="0"/>
        <v>182077.21680683803</v>
      </c>
      <c r="F20" s="47">
        <f t="shared" si="0"/>
        <v>0</v>
      </c>
      <c r="G20" s="47">
        <f t="shared" si="0"/>
        <v>200640.38836377388</v>
      </c>
      <c r="H20" s="47">
        <f t="shared" si="0"/>
        <v>597846.6051706119</v>
      </c>
    </row>
    <row r="21" spans="2:8" ht="12.75">
      <c r="B21" s="40" t="s">
        <v>168</v>
      </c>
      <c r="C21" s="47">
        <f>0</f>
        <v>0</v>
      </c>
      <c r="D21" s="47">
        <f>0</f>
        <v>0</v>
      </c>
      <c r="E21" s="47">
        <f>0</f>
        <v>0</v>
      </c>
      <c r="F21" s="47">
        <f>0</f>
        <v>0</v>
      </c>
      <c r="G21" s="47">
        <f>-6197</f>
        <v>-6197</v>
      </c>
      <c r="H21" s="47">
        <f>SUM(C21:G21)</f>
        <v>-6197</v>
      </c>
    </row>
    <row r="22" spans="2:9" ht="12.75">
      <c r="B22" s="40" t="s">
        <v>87</v>
      </c>
      <c r="C22" s="49">
        <f aca="true" t="shared" si="1" ref="C22:H22">SUM(C20:C21)</f>
        <v>215306</v>
      </c>
      <c r="D22" s="49">
        <f t="shared" si="1"/>
        <v>-177</v>
      </c>
      <c r="E22" s="49">
        <f t="shared" si="1"/>
        <v>182077.21680683803</v>
      </c>
      <c r="F22" s="49">
        <f t="shared" si="1"/>
        <v>0</v>
      </c>
      <c r="G22" s="49">
        <f t="shared" si="1"/>
        <v>194443.38836377388</v>
      </c>
      <c r="H22" s="49">
        <f t="shared" si="1"/>
        <v>591649.6051706119</v>
      </c>
      <c r="I22" s="47"/>
    </row>
    <row r="23" spans="3:9" ht="12.75">
      <c r="C23" s="47"/>
      <c r="D23" s="47"/>
      <c r="E23" s="47"/>
      <c r="F23" s="47"/>
      <c r="G23" s="47"/>
      <c r="H23" s="47">
        <f>H22-BSheet!F47</f>
        <v>0.04856707330327481</v>
      </c>
      <c r="I23" s="48"/>
    </row>
    <row r="25" ht="12.75">
      <c r="B25" s="43" t="s">
        <v>88</v>
      </c>
    </row>
    <row r="26" ht="12.75">
      <c r="B26" s="45"/>
    </row>
    <row r="28" spans="2:8" ht="12.75">
      <c r="B28" s="40" t="s">
        <v>86</v>
      </c>
      <c r="C28" s="41">
        <f>215300</f>
        <v>215300</v>
      </c>
      <c r="D28" s="41">
        <f>-120</f>
        <v>-120</v>
      </c>
      <c r="E28" s="41">
        <f>182083</f>
        <v>182083</v>
      </c>
      <c r="F28" s="41">
        <v>0</v>
      </c>
      <c r="G28" s="41">
        <f>177874</f>
        <v>177874</v>
      </c>
      <c r="H28" s="41">
        <f>SUM(C28:G28)</f>
        <v>575137</v>
      </c>
    </row>
    <row r="30" spans="2:8" ht="12.75">
      <c r="B30" s="40" t="s">
        <v>89</v>
      </c>
      <c r="C30" s="41">
        <v>0</v>
      </c>
      <c r="D30" s="41">
        <v>0</v>
      </c>
      <c r="E30" s="41">
        <f>-3</f>
        <v>-3</v>
      </c>
      <c r="F30" s="41">
        <v>0</v>
      </c>
      <c r="G30" s="41">
        <f>11379</f>
        <v>11379</v>
      </c>
      <c r="H30" s="41">
        <f>SUM(C30:G30)</f>
        <v>11376</v>
      </c>
    </row>
    <row r="32" spans="2:8" ht="12.75">
      <c r="B32" s="40" t="s">
        <v>90</v>
      </c>
      <c r="C32" s="49">
        <f aca="true" t="shared" si="2" ref="C32:H32">SUM(C28:C31)</f>
        <v>215300</v>
      </c>
      <c r="D32" s="49">
        <f t="shared" si="2"/>
        <v>-120</v>
      </c>
      <c r="E32" s="49">
        <f t="shared" si="2"/>
        <v>182080</v>
      </c>
      <c r="F32" s="49">
        <f t="shared" si="2"/>
        <v>0</v>
      </c>
      <c r="G32" s="49">
        <f t="shared" si="2"/>
        <v>189253</v>
      </c>
      <c r="H32" s="49">
        <f t="shared" si="2"/>
        <v>586513</v>
      </c>
    </row>
    <row r="33" ht="12.75">
      <c r="H33" s="41">
        <f>H32-586513</f>
        <v>0</v>
      </c>
    </row>
    <row r="41" ht="12.75">
      <c r="C41" s="40" t="s">
        <v>91</v>
      </c>
    </row>
    <row r="42" ht="12.75">
      <c r="C42" s="40" t="s">
        <v>72</v>
      </c>
    </row>
  </sheetData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2"/>
  <sheetViews>
    <sheetView workbookViewId="0" topLeftCell="A47">
      <selection activeCell="E66" sqref="E66"/>
    </sheetView>
  </sheetViews>
  <sheetFormatPr defaultColWidth="9.140625" defaultRowHeight="12.75"/>
  <cols>
    <col min="1" max="2" width="3.140625" style="2" customWidth="1"/>
    <col min="3" max="3" width="9.140625" style="2" customWidth="1"/>
    <col min="4" max="4" width="20.8515625" style="2" customWidth="1"/>
    <col min="5" max="5" width="16.28125" style="2" customWidth="1"/>
    <col min="6" max="6" width="1.7109375" style="2" customWidth="1"/>
    <col min="7" max="7" width="16.28125" style="2" customWidth="1"/>
    <col min="8" max="8" width="1.7109375" style="2" customWidth="1"/>
    <col min="9" max="9" width="16.28125" style="2" customWidth="1"/>
    <col min="10" max="10" width="1.7109375" style="2" customWidth="1"/>
    <col min="11" max="11" width="16.28125" style="2" customWidth="1"/>
    <col min="12" max="12" width="1.7109375" style="2" customWidth="1"/>
    <col min="13" max="13" width="16.28125" style="2" customWidth="1"/>
    <col min="14" max="14" width="1.7109375" style="2" customWidth="1"/>
    <col min="15" max="15" width="16.28125" style="2" customWidth="1"/>
    <col min="16" max="16" width="1.7109375" style="2" customWidth="1"/>
    <col min="17" max="17" width="16.28125" style="2" customWidth="1"/>
    <col min="18" max="18" width="1.7109375" style="2" customWidth="1"/>
    <col min="19" max="19" width="16.28125" style="2" customWidth="1"/>
    <col min="20" max="20" width="1.7109375" style="2" customWidth="1"/>
    <col min="21" max="21" width="16.28125" style="2" customWidth="1"/>
    <col min="22" max="22" width="12.00390625" style="2" bestFit="1" customWidth="1"/>
    <col min="23" max="23" width="16.00390625" style="2" bestFit="1" customWidth="1"/>
    <col min="24" max="24" width="12.00390625" style="2" bestFit="1" customWidth="1"/>
    <col min="25" max="16384" width="9.140625" style="2" customWidth="1"/>
  </cols>
  <sheetData>
    <row r="1" spans="1:5" ht="12.75">
      <c r="A1" s="52" t="s">
        <v>112</v>
      </c>
      <c r="B1" s="20" t="s">
        <v>113</v>
      </c>
      <c r="E1" s="53"/>
    </row>
    <row r="3" spans="2:5" ht="12.75">
      <c r="B3" s="20" t="s">
        <v>114</v>
      </c>
      <c r="C3" s="1" t="s">
        <v>115</v>
      </c>
      <c r="E3" s="20"/>
    </row>
    <row r="5" s="20" customFormat="1" ht="12.75">
      <c r="E5" s="21" t="s">
        <v>116</v>
      </c>
    </row>
    <row r="6" spans="5:17" s="20" customFormat="1" ht="12.75">
      <c r="E6" s="21" t="s">
        <v>117</v>
      </c>
      <c r="O6" s="21" t="s">
        <v>118</v>
      </c>
      <c r="Q6" s="21" t="s">
        <v>119</v>
      </c>
    </row>
    <row r="7" spans="5:21" s="20" customFormat="1" ht="12.75">
      <c r="E7" s="21" t="s">
        <v>120</v>
      </c>
      <c r="G7" s="21" t="s">
        <v>121</v>
      </c>
      <c r="I7" s="21" t="s">
        <v>122</v>
      </c>
      <c r="J7" s="21"/>
      <c r="K7" s="21" t="s">
        <v>123</v>
      </c>
      <c r="L7" s="21"/>
      <c r="M7" s="21" t="s">
        <v>124</v>
      </c>
      <c r="O7" s="21" t="s">
        <v>125</v>
      </c>
      <c r="Q7" s="21" t="s">
        <v>126</v>
      </c>
      <c r="S7" s="21" t="s">
        <v>127</v>
      </c>
      <c r="T7" s="21"/>
      <c r="U7" s="21" t="s">
        <v>128</v>
      </c>
    </row>
    <row r="8" spans="5:21" s="20" customFormat="1" ht="12.75">
      <c r="E8" s="21" t="s">
        <v>129</v>
      </c>
      <c r="G8" s="21" t="s">
        <v>129</v>
      </c>
      <c r="I8" s="21" t="s">
        <v>129</v>
      </c>
      <c r="K8" s="21" t="s">
        <v>129</v>
      </c>
      <c r="M8" s="21" t="s">
        <v>129</v>
      </c>
      <c r="O8" s="21" t="s">
        <v>129</v>
      </c>
      <c r="Q8" s="21" t="s">
        <v>129</v>
      </c>
      <c r="S8" s="21" t="s">
        <v>129</v>
      </c>
      <c r="U8" s="21" t="s">
        <v>129</v>
      </c>
    </row>
    <row r="9" s="20" customFormat="1" ht="12.75"/>
    <row r="10" spans="3:5" ht="12.75">
      <c r="C10" s="20" t="s">
        <v>130</v>
      </c>
      <c r="E10" s="20"/>
    </row>
    <row r="11" spans="4:21" ht="12.75">
      <c r="D11" s="2" t="s">
        <v>131</v>
      </c>
      <c r="E11" s="54">
        <f>('[3]Consol'!$EN$675+'[3]Consol'!$EN$676+'[3]Consol'!$EN$677+'[3]Consol'!$EN$678+'[3]Consol'!$EN$684)/1000</f>
        <v>344491.0995</v>
      </c>
      <c r="F11" s="3"/>
      <c r="G11" s="3">
        <f>'[3]Consol'!$EN$681</f>
        <v>0</v>
      </c>
      <c r="H11" s="3"/>
      <c r="I11" s="3">
        <f>'[4]Consol'!EN679/1000</f>
        <v>9710.783</v>
      </c>
      <c r="J11" s="3"/>
      <c r="K11" s="3">
        <f>'[4]Consol'!EN682/1000</f>
        <v>29044.386</v>
      </c>
      <c r="L11" s="3"/>
      <c r="M11" s="3">
        <f>'[4]Consol'!EN680/1000</f>
        <v>993.15</v>
      </c>
      <c r="N11" s="3"/>
      <c r="O11" s="3">
        <f>'[4]Consol'!EN683/1000</f>
        <v>6119.5026708</v>
      </c>
      <c r="P11" s="3"/>
      <c r="Q11" s="26">
        <f>O11+M11+K11+I11+G11+E11</f>
        <v>390358.9211708</v>
      </c>
      <c r="R11" s="3"/>
      <c r="S11" s="3">
        <v>0</v>
      </c>
      <c r="T11" s="3"/>
      <c r="U11" s="3">
        <f>Q11</f>
        <v>390358.9211708</v>
      </c>
    </row>
    <row r="12" spans="5:21" ht="12.7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6"/>
      <c r="R12" s="3"/>
      <c r="S12" s="3"/>
      <c r="T12" s="3"/>
      <c r="U12" s="3"/>
    </row>
    <row r="13" spans="4:21" ht="12.75">
      <c r="D13" s="2" t="s">
        <v>132</v>
      </c>
      <c r="E13" s="26">
        <f>(-'[3]Consol'!$BV$14-'[3]Consol'!$BY$14-'[3]Consol'!$CG$14)/1000</f>
        <v>20113.7045</v>
      </c>
      <c r="F13" s="3"/>
      <c r="G13" s="26">
        <v>0</v>
      </c>
      <c r="H13" s="3"/>
      <c r="I13" s="26">
        <f>'[4]Consol'!$EM$679</f>
        <v>0</v>
      </c>
      <c r="J13" s="3"/>
      <c r="K13" s="26">
        <f>-'[4]Consol'!EM682/1000</f>
        <v>14978.327</v>
      </c>
      <c r="L13" s="3"/>
      <c r="M13" s="26">
        <f>-'[4]Consol'!$EM$680</f>
        <v>0</v>
      </c>
      <c r="N13" s="3"/>
      <c r="O13" s="26">
        <v>0</v>
      </c>
      <c r="P13" s="26"/>
      <c r="Q13" s="26">
        <f>O13+M13+K13+I13+G13+E13</f>
        <v>35092.0315</v>
      </c>
      <c r="R13" s="3"/>
      <c r="S13" s="26">
        <f>-(E13+G13+I13+K13+M13+O13)</f>
        <v>-35092.0315</v>
      </c>
      <c r="T13" s="3"/>
      <c r="U13" s="26">
        <f>-(E13+G13+I13+K13+M13+O13+S13)</f>
        <v>0</v>
      </c>
    </row>
    <row r="14" spans="5:22" ht="12.75"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8"/>
    </row>
    <row r="15" spans="4:21" ht="13.5" thickBot="1">
      <c r="D15" s="2" t="s">
        <v>133</v>
      </c>
      <c r="E15" s="55">
        <f>SUM(E11:E13)</f>
        <v>364604.804</v>
      </c>
      <c r="F15" s="55"/>
      <c r="G15" s="55">
        <f>SUM(G11:G13)</f>
        <v>0</v>
      </c>
      <c r="H15" s="55"/>
      <c r="I15" s="55">
        <f>SUM(I11:I13)</f>
        <v>9710.783</v>
      </c>
      <c r="J15" s="55"/>
      <c r="K15" s="55">
        <f>SUM(K11:K13)</f>
        <v>44022.712999999996</v>
      </c>
      <c r="L15" s="55"/>
      <c r="M15" s="55">
        <f>SUM(M11:M13)</f>
        <v>993.15</v>
      </c>
      <c r="N15" s="55"/>
      <c r="O15" s="55">
        <f>SUM(O11:O13)</f>
        <v>6119.5026708</v>
      </c>
      <c r="P15" s="55"/>
      <c r="Q15" s="55">
        <f>SUM(Q11:Q13)</f>
        <v>425450.9526708</v>
      </c>
      <c r="R15" s="55"/>
      <c r="S15" s="55">
        <f>SUM(S11:S13)</f>
        <v>-35092.0315</v>
      </c>
      <c r="T15" s="55"/>
      <c r="U15" s="55">
        <f>E15+G15+I15+K15+M15+O15+S15</f>
        <v>390358.92117080005</v>
      </c>
    </row>
    <row r="16" spans="6:24" ht="12.75"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5"/>
      <c r="X16" s="39"/>
    </row>
    <row r="17" spans="3:24" ht="12.75">
      <c r="C17" s="20" t="s">
        <v>134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5"/>
      <c r="X17" s="39"/>
    </row>
    <row r="18" spans="4:24" ht="13.5" thickBot="1">
      <c r="D18" s="2" t="s">
        <v>135</v>
      </c>
      <c r="E18" s="56">
        <v>33085</v>
      </c>
      <c r="F18" s="56"/>
      <c r="G18" s="56">
        <f>+'[5]Consol'!$EM$710+'[5]Consol'!$EN$710/1000</f>
        <v>-177.685</v>
      </c>
      <c r="H18" s="56"/>
      <c r="I18" s="56">
        <v>1657</v>
      </c>
      <c r="J18" s="56"/>
      <c r="K18" s="56">
        <f>('[4]Consol'!EN711-'[4]Consol'!EM711)/1000</f>
        <v>2466.518</v>
      </c>
      <c r="L18" s="56"/>
      <c r="M18" s="56">
        <v>-1189</v>
      </c>
      <c r="N18" s="56"/>
      <c r="O18" s="56">
        <f>('[4]Consol'!EN712-'[4]Consol'!EM712)/1000</f>
        <v>-499.38729770000094</v>
      </c>
      <c r="P18" s="56"/>
      <c r="Q18" s="56">
        <f>O18+M18+K18+I18+G18+E18</f>
        <v>35342.4457023</v>
      </c>
      <c r="R18" s="56"/>
      <c r="S18" s="56">
        <f>('[4]Consol'!EM717-'[4]Consol'!EM715)/1000</f>
        <v>-826.8119830941772</v>
      </c>
      <c r="T18" s="56"/>
      <c r="U18" s="56">
        <f>Q18+S18</f>
        <v>34515.63371920582</v>
      </c>
      <c r="V18" s="3"/>
      <c r="X18" s="39"/>
    </row>
    <row r="19" spans="5:24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6"/>
      <c r="R19" s="3"/>
      <c r="S19" s="3"/>
      <c r="T19" s="3"/>
      <c r="U19" s="3"/>
      <c r="V19" s="3"/>
      <c r="X19" s="39"/>
    </row>
    <row r="20" spans="4:24" ht="12.75">
      <c r="D20" s="2" t="s">
        <v>136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>('[3]Consol'!$EN$50-'[3]Consol'!$EN$47-'[3]Consol'!$EN$41-'[3]Consol'!$EN$35)/1000</f>
        <v>34515.67337920578</v>
      </c>
      <c r="X20" s="39"/>
    </row>
    <row r="21" spans="6:24" ht="12.7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X21" s="39"/>
    </row>
    <row r="22" spans="4:24" ht="12.75">
      <c r="D22" s="2" t="s">
        <v>137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>'[4]Consol'!EN41/1000</f>
        <v>-13833.0019848</v>
      </c>
      <c r="X22" s="39"/>
    </row>
    <row r="23" spans="6:24" ht="12.75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X23" s="39"/>
    </row>
    <row r="24" spans="4:24" ht="12.75">
      <c r="D24" s="2" t="s">
        <v>138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>'[4]Consol'!EN35/1000</f>
        <v>7839.857</v>
      </c>
      <c r="V24" s="25"/>
      <c r="X24" s="39"/>
    </row>
    <row r="25" spans="6:24" ht="12.75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X25" s="39"/>
    </row>
    <row r="26" spans="4:21" ht="12.75">
      <c r="D26" s="2" t="s">
        <v>139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4:21" ht="12.75">
      <c r="D27" s="2" t="s">
        <v>140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>'[4]Consol'!EN47/1000</f>
        <v>5757.756551200002</v>
      </c>
    </row>
    <row r="28" spans="6:21" ht="12.75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7"/>
    </row>
    <row r="29" spans="4:23" ht="12.75">
      <c r="D29" s="2" t="s">
        <v>141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>SUM(U20:U28)</f>
        <v>34280.28494560578</v>
      </c>
      <c r="W29" s="25"/>
    </row>
    <row r="30" spans="6:21" ht="12.7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4:21" ht="12.75">
      <c r="D31" s="2" t="s">
        <v>142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>'[3]Consol'!$EO$54/1000</f>
        <v>-13519.73568</v>
      </c>
    </row>
    <row r="32" spans="6:21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4:21" ht="13.5" thickBot="1">
      <c r="D33" s="2" t="s">
        <v>143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55">
        <f>SUM(U29:U32)</f>
        <v>20760.549265605783</v>
      </c>
    </row>
    <row r="34" spans="6:22" ht="12.7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>+U33-'[1]Cond Inc Sttm-4 Leow'!F36</f>
        <v>0</v>
      </c>
      <c r="V34" s="25"/>
    </row>
    <row r="35" spans="6:21" ht="12.75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3:21" ht="12.75">
      <c r="C36" s="20" t="s">
        <v>144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4:23" ht="12.75">
      <c r="D37" s="2" t="s">
        <v>145</v>
      </c>
      <c r="E37" s="3">
        <f>SUM('[4]Consol'!EN962:EN965,'[4]Consol'!EN971)/1000</f>
        <v>860.359</v>
      </c>
      <c r="F37" s="3"/>
      <c r="G37" s="3">
        <f>'[4]Consol'!EN968/1000</f>
        <v>5.25</v>
      </c>
      <c r="H37" s="3"/>
      <c r="I37" s="3">
        <f>'[4]Consol'!EN966/1000</f>
        <v>179.46</v>
      </c>
      <c r="J37" s="3"/>
      <c r="K37" s="3">
        <f>'[4]Consol'!EN969/1000</f>
        <v>0</v>
      </c>
      <c r="L37" s="3"/>
      <c r="M37" s="3">
        <f>'[4]Consol'!EN967/1000</f>
        <v>25.188</v>
      </c>
      <c r="N37" s="3"/>
      <c r="O37" s="3">
        <f>'[4]Consol'!EN970/1000</f>
        <v>205.488426</v>
      </c>
      <c r="P37" s="3"/>
      <c r="Q37" s="3"/>
      <c r="R37" s="3"/>
      <c r="S37" s="3"/>
      <c r="T37" s="3"/>
      <c r="U37" s="3">
        <f>E37+G37+I37+K37+M37+O37</f>
        <v>1275.745426</v>
      </c>
      <c r="V37" s="3">
        <f>'[4]Consol'!$EN$1151/1000</f>
        <v>1275.745426</v>
      </c>
      <c r="W37" s="3">
        <f>U37-V37</f>
        <v>0</v>
      </c>
    </row>
    <row r="38" spans="4:23" ht="12.75">
      <c r="D38" s="2" t="s">
        <v>146</v>
      </c>
      <c r="E38" s="3">
        <f>SUM('[4]Consol'!EN782:EN785,'[4]Consol'!EN791)/1000</f>
        <v>1821.3893</v>
      </c>
      <c r="F38" s="3"/>
      <c r="G38" s="3">
        <f>'[4]Consol'!EN788/1000</f>
        <v>11.542</v>
      </c>
      <c r="H38" s="3"/>
      <c r="I38" s="3">
        <f>'[4]Consol'!EN786/1000</f>
        <v>580.254</v>
      </c>
      <c r="J38" s="3"/>
      <c r="K38" s="3">
        <f>'[4]Consol'!EN789/1000</f>
        <v>432.342</v>
      </c>
      <c r="L38" s="3"/>
      <c r="M38" s="3">
        <f>'[4]Consol'!EN787/1000</f>
        <v>615.282</v>
      </c>
      <c r="N38" s="3"/>
      <c r="O38" s="3">
        <f>'[4]Consol'!EN790/1000</f>
        <v>1439.9377376999998</v>
      </c>
      <c r="P38" s="3"/>
      <c r="Q38" s="3"/>
      <c r="R38" s="3"/>
      <c r="S38" s="3"/>
      <c r="T38" s="3"/>
      <c r="U38" s="3">
        <f>E38+G38+I38+K38+M38+O38</f>
        <v>4900.7470377</v>
      </c>
      <c r="V38" s="57">
        <f>'[4]Consol'!$EN$1493/1000</f>
        <v>4900.7470377</v>
      </c>
      <c r="W38" s="3">
        <f>U38-V38</f>
        <v>0</v>
      </c>
    </row>
    <row r="39" spans="6:21" ht="12.75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3:21" ht="12.75">
      <c r="C40" s="20" t="s">
        <v>147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3:21" ht="12.75">
      <c r="C41" s="20" t="s">
        <v>148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4:21" ht="12.75">
      <c r="D42" s="2" t="s">
        <v>149</v>
      </c>
      <c r="E42" s="3">
        <f>2515952-U45</f>
        <v>2437912.510275474</v>
      </c>
      <c r="F42" s="3"/>
      <c r="G42" s="3">
        <f>'[3]Consol'!EN757/1000</f>
        <v>80703.71734</v>
      </c>
      <c r="H42" s="3"/>
      <c r="I42" s="3">
        <f>'[3]Consol'!EN755/1000</f>
        <v>50292.784555000006</v>
      </c>
      <c r="J42" s="3"/>
      <c r="K42" s="3">
        <f>'[3]Consol'!EN758/1000</f>
        <v>70502.261</v>
      </c>
      <c r="L42" s="3"/>
      <c r="M42" s="3">
        <f>'[3]Consol'!EN756/1000</f>
        <v>50768.01250263157</v>
      </c>
      <c r="N42" s="3"/>
      <c r="O42" s="3">
        <f>'[3]Consol'!EN759/1000</f>
        <v>169064.6933481</v>
      </c>
      <c r="P42" s="3"/>
      <c r="Q42" s="3"/>
      <c r="R42" s="3"/>
      <c r="S42" s="3"/>
      <c r="T42" s="3"/>
      <c r="U42" s="3">
        <f>E42+G42+I42+K42+M42+O42</f>
        <v>2859243.979021205</v>
      </c>
    </row>
    <row r="43" spans="5:21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2" t="s">
        <v>150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4:21" ht="12.75">
      <c r="D45" s="2" t="s">
        <v>151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>
        <f>'[4]Consol'!EN218/1000</f>
        <v>78039.489724526</v>
      </c>
    </row>
    <row r="46" spans="5:21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27"/>
    </row>
    <row r="47" spans="4:21" ht="13.5" thickBot="1">
      <c r="D47" s="2" t="s">
        <v>152</v>
      </c>
      <c r="E47" s="2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55">
        <f>SUM(U42:U45)</f>
        <v>2937283.4687457313</v>
      </c>
    </row>
    <row r="48" spans="5:21" ht="12.75">
      <c r="E48" s="2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26"/>
    </row>
    <row r="49" spans="3:21" ht="12.75">
      <c r="C49" s="20" t="s">
        <v>153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4:21" ht="13.5" thickBot="1">
      <c r="D50" s="2" t="s">
        <v>154</v>
      </c>
      <c r="E50" s="3">
        <f>SUM('[3]Consol'!$EN$766,'[3]Consol'!$EN$767,'[3]Consol'!$EN$768,'[3]Consol'!$EN$769,'[3]Consol'!$EN$775)/1000</f>
        <v>1864662.89519</v>
      </c>
      <c r="F50" s="3"/>
      <c r="G50" s="3">
        <f>'[3]Consol'!EN772/1000</f>
        <v>61613.559</v>
      </c>
      <c r="H50" s="3"/>
      <c r="I50" s="3">
        <f>'[3]Consol'!EN770/1000</f>
        <v>52598.345769764994</v>
      </c>
      <c r="J50" s="3"/>
      <c r="K50" s="3">
        <f>'[3]Consol'!EN773/1000</f>
        <v>55868.481</v>
      </c>
      <c r="L50" s="3"/>
      <c r="M50" s="3">
        <f>'[3]Consol'!EN771/1000</f>
        <v>71303.797</v>
      </c>
      <c r="N50" s="3"/>
      <c r="O50" s="3">
        <f>'[3]Consol'!EN774/1000</f>
        <v>121275.34228854202</v>
      </c>
      <c r="P50" s="3"/>
      <c r="Q50" s="3"/>
      <c r="R50" s="3"/>
      <c r="S50" s="3"/>
      <c r="T50" s="3"/>
      <c r="U50" s="56">
        <f>E50+G50+I50+K50+M50+O50</f>
        <v>2227322.420248307</v>
      </c>
    </row>
    <row r="51" spans="6:21" ht="12.7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5" spans="2:3" ht="12.75">
      <c r="B55" s="20" t="s">
        <v>155</v>
      </c>
      <c r="C55" s="1" t="s">
        <v>156</v>
      </c>
    </row>
    <row r="56" spans="2:21" ht="12.75">
      <c r="B56" s="20"/>
      <c r="C56" s="20"/>
      <c r="S56" s="21" t="s">
        <v>157</v>
      </c>
      <c r="T56" s="21"/>
      <c r="U56" s="21" t="s">
        <v>158</v>
      </c>
    </row>
    <row r="57" spans="2:21" ht="12.75">
      <c r="B57" s="20"/>
      <c r="C57" s="20"/>
      <c r="S57" s="21" t="s">
        <v>159</v>
      </c>
      <c r="T57" s="21"/>
      <c r="U57" s="21" t="s">
        <v>160</v>
      </c>
    </row>
    <row r="58" spans="19:21" ht="12.75">
      <c r="S58" s="21" t="s">
        <v>85</v>
      </c>
      <c r="T58" s="21"/>
      <c r="U58" s="21" t="s">
        <v>85</v>
      </c>
    </row>
    <row r="59" spans="3:21" ht="12.75">
      <c r="C59" s="2" t="s">
        <v>161</v>
      </c>
      <c r="S59" s="3">
        <v>384239</v>
      </c>
      <c r="T59" s="3"/>
      <c r="U59" s="3">
        <f>'[3]Consol'!$EN$1070/1000+U45</f>
        <v>2808240.122084421</v>
      </c>
    </row>
    <row r="60" spans="3:21" ht="12.75">
      <c r="C60" s="2" t="s">
        <v>162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S60" s="3">
        <f>'[3]Consol'!EN1090/1000</f>
        <v>6119.5026708</v>
      </c>
      <c r="T60" s="3"/>
      <c r="U60" s="3">
        <f>U47-U59</f>
        <v>129043.34666131018</v>
      </c>
    </row>
    <row r="61" spans="6:21" ht="13.5" thickBot="1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S61" s="55">
        <f>SUM(S59:S60)</f>
        <v>390358.5026708</v>
      </c>
      <c r="T61" s="55"/>
      <c r="U61" s="55">
        <f>SUM(U59:U60)</f>
        <v>2937283.4687457313</v>
      </c>
    </row>
    <row r="62" spans="6:21" ht="12.75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S62" s="3">
        <f>+U15-S61</f>
        <v>0.418500000028871</v>
      </c>
      <c r="T62" s="3"/>
      <c r="U62" s="3">
        <f>+U47-U61</f>
        <v>0</v>
      </c>
    </row>
    <row r="63" spans="6:21" ht="12.75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6:21" ht="12.75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6:21" ht="12.75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6:21" ht="12.75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6:21" ht="12.7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6:21" ht="12.7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6:21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6:21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6:21" ht="12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6:21" ht="12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6:21" ht="12.75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6:21" ht="12.75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6:21" ht="12.75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6:21" ht="12.75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6:21" ht="12.75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6:21" ht="12.75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6:21" ht="12.75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6:21" ht="12.75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6:21" ht="12.75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6:21" ht="12.75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6:21" ht="12.75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6:21" ht="12.75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6:21" ht="12.75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6:21" ht="12.75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6:21" ht="12.75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6:21" ht="12.75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6:21" ht="12.75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6:21" ht="12.75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6:21" ht="12.75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6:21" ht="12.75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6:21" ht="12.75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6:21" ht="12.75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6:21" ht="12.75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6:21" ht="12.7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6:21" ht="12.7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6:21" ht="12.7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6:21" ht="12.7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6:21" ht="12.7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6:21" ht="12.7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6:21" ht="12.7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6:21" ht="12.7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6:21" ht="12.7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6:21" ht="12.7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6:21" ht="12.7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6:21" ht="12.7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6:21" ht="12.7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6:21" ht="12.7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6:21" ht="12.7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6:21" ht="12.7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6:21" ht="12.7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</sheetData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35"/>
  <sheetViews>
    <sheetView workbookViewId="0" topLeftCell="A1">
      <selection activeCell="B14" sqref="B14"/>
    </sheetView>
  </sheetViews>
  <sheetFormatPr defaultColWidth="9.140625" defaultRowHeight="12.75"/>
  <cols>
    <col min="1" max="1" width="9.140625" style="2" customWidth="1"/>
    <col min="2" max="2" width="60.28125" style="2" customWidth="1"/>
    <col min="3" max="3" width="16.140625" style="3" customWidth="1"/>
    <col min="4" max="16384" width="9.140625" style="2" customWidth="1"/>
  </cols>
  <sheetData>
    <row r="3" ht="12.75">
      <c r="B3" s="1" t="s">
        <v>93</v>
      </c>
    </row>
    <row r="5" ht="12.75">
      <c r="B5" s="1" t="s">
        <v>94</v>
      </c>
    </row>
    <row r="6" ht="12.75">
      <c r="B6" s="1" t="s">
        <v>109</v>
      </c>
    </row>
    <row r="7" ht="12.75">
      <c r="C7" s="50" t="s">
        <v>111</v>
      </c>
    </row>
    <row r="8" ht="12.75">
      <c r="C8" s="50" t="s">
        <v>110</v>
      </c>
    </row>
    <row r="9" ht="12.75">
      <c r="C9" s="50" t="s">
        <v>95</v>
      </c>
    </row>
    <row r="10" ht="12.75">
      <c r="C10" s="50" t="s">
        <v>96</v>
      </c>
    </row>
    <row r="11" ht="12.75">
      <c r="C11" s="50" t="s">
        <v>10</v>
      </c>
    </row>
    <row r="14" spans="2:3" ht="12.75">
      <c r="B14" s="2" t="s">
        <v>97</v>
      </c>
      <c r="C14" s="3">
        <f>8196</f>
        <v>8196</v>
      </c>
    </row>
    <row r="15" spans="2:3" ht="12.75">
      <c r="B15" s="2" t="s">
        <v>98</v>
      </c>
      <c r="C15" s="3">
        <f>-66724</f>
        <v>-66724</v>
      </c>
    </row>
    <row r="16" spans="2:3" ht="12.75">
      <c r="B16" s="2" t="s">
        <v>99</v>
      </c>
      <c r="C16" s="27">
        <f>-16434</f>
        <v>-16434</v>
      </c>
    </row>
    <row r="17" spans="2:3" ht="12.75">
      <c r="B17" s="2" t="s">
        <v>100</v>
      </c>
      <c r="C17" s="26">
        <f>SUM(C14,C15,C16)</f>
        <v>-74962</v>
      </c>
    </row>
    <row r="18" spans="2:3" ht="12.75">
      <c r="B18" s="2" t="s">
        <v>101</v>
      </c>
      <c r="C18" s="3">
        <f>168121</f>
        <v>168121</v>
      </c>
    </row>
    <row r="19" spans="2:3" ht="13.5" thickBot="1">
      <c r="B19" s="2" t="s">
        <v>102</v>
      </c>
      <c r="C19" s="51">
        <f>SUM(C17:C18)</f>
        <v>93159</v>
      </c>
    </row>
    <row r="20" ht="13.5" thickTop="1"/>
    <row r="23" ht="12.75">
      <c r="B23" s="20" t="s">
        <v>103</v>
      </c>
    </row>
    <row r="25" spans="2:3" ht="12.75">
      <c r="B25" s="2" t="s">
        <v>104</v>
      </c>
      <c r="C25" s="3">
        <f>+'[2]Consol'!$EN$175/1000</f>
        <v>35053.23624879999</v>
      </c>
    </row>
    <row r="26" spans="2:3" ht="12.75">
      <c r="B26" s="2" t="s">
        <v>105</v>
      </c>
      <c r="C26" s="3">
        <f>(+'[2]Consol'!$EN$176+'[2]Consol'!$EN$177)/1000</f>
        <v>359444.874</v>
      </c>
    </row>
    <row r="27" spans="2:3" ht="12.75">
      <c r="B27" s="2" t="s">
        <v>106</v>
      </c>
      <c r="C27" s="3">
        <f>-'[2]Consol'!$EN$192/1000</f>
        <v>-30975.013</v>
      </c>
    </row>
    <row r="28" ht="12.75">
      <c r="C28" s="58">
        <f>SUM(C25:C27)</f>
        <v>363523.09724880004</v>
      </c>
    </row>
    <row r="29" spans="2:3" ht="12.75">
      <c r="B29" s="17" t="s">
        <v>164</v>
      </c>
      <c r="C29" s="3">
        <f>-270364</f>
        <v>-270364</v>
      </c>
    </row>
    <row r="30" spans="2:3" ht="12.75" hidden="1">
      <c r="B30" s="17" t="s">
        <v>107</v>
      </c>
      <c r="C30" s="3">
        <f>C19-C28</f>
        <v>-270364.09724880004</v>
      </c>
    </row>
    <row r="31" ht="13.5" thickBot="1">
      <c r="C31" s="51">
        <f>SUM(C28:C29)</f>
        <v>93159.09724880004</v>
      </c>
    </row>
    <row r="32" ht="13.5" thickTop="1"/>
    <row r="34" ht="12.75">
      <c r="B34" s="2" t="s">
        <v>108</v>
      </c>
    </row>
    <row r="35" ht="12.75">
      <c r="B35" s="2" t="s">
        <v>72</v>
      </c>
    </row>
  </sheetData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Talam Corporation Bhd</cp:lastModifiedBy>
  <cp:lastPrinted>2003-10-18T02:24:27Z</cp:lastPrinted>
  <dcterms:created xsi:type="dcterms:W3CDTF">2003-09-25T01:46:47Z</dcterms:created>
  <dcterms:modified xsi:type="dcterms:W3CDTF">2003-10-18T02:27:47Z</dcterms:modified>
  <cp:category/>
  <cp:version/>
  <cp:contentType/>
  <cp:contentStatus/>
</cp:coreProperties>
</file>