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4"/>
  </bookViews>
  <sheets>
    <sheet name="PL" sheetId="1" r:id="rId1"/>
    <sheet name="Cashflow-Note 1" sheetId="2" r:id="rId2"/>
    <sheet name="CASHFLOW" sheetId="3" r:id="rId3"/>
    <sheet name="SCE" sheetId="4" r:id="rId4"/>
    <sheet name="CBS" sheetId="5" r:id="rId5"/>
  </sheets>
  <definedNames>
    <definedName name="_xlnm.Print_Area" localSheetId="2">'CASHFLOW'!$A$1:$F$83</definedName>
    <definedName name="_xlnm.Print_Area" localSheetId="1">'Cashflow-Note 1'!$A$1:$D$23</definedName>
    <definedName name="_xlnm.Print_Area" localSheetId="4">'CBS'!$A$1:$E$53</definedName>
    <definedName name="_xlnm.Print_Area" localSheetId="0">'PL'!$A$1:$F$39</definedName>
    <definedName name="_xlnm.Print_Area" localSheetId="3">'SCE'!$A$1:$F$35</definedName>
  </definedNames>
  <calcPr fullCalcOnLoad="1"/>
</workbook>
</file>

<file path=xl/sharedStrings.xml><?xml version="1.0" encoding="utf-8"?>
<sst xmlns="http://schemas.openxmlformats.org/spreadsheetml/2006/main" count="234" uniqueCount="159">
  <si>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</si>
  <si>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</si>
  <si>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</si>
  <si>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</si>
  <si>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</si>
  <si>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</si>
  <si>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</si>
  <si>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</si>
  <si>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</si>
  <si>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</si>
  <si>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</si>
  <si>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</si>
  <si>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</si>
  <si>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</si>
  <si>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</si>
  <si>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</si>
  <si>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</si>
  <si>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</si>
  <si>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</si>
  <si>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</si>
  <si>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</si>
  <si>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</si>
  <si>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</si>
  <si>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</si>
  <si>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</si>
  <si>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</si>
  <si>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</si>
  <si>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</si>
  <si>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</si>
  <si>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</si>
  <si>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</si>
  <si>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</si>
  <si>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</si>
  <si>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</si>
  <si>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</si>
  <si>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</si>
  <si>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</si>
  <si>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</si>
  <si>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</si>
  <si>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</si>
  <si>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</si>
  <si>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</si>
  <si>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</si>
  <si>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</si>
  <si>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</si>
  <si>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</si>
  <si>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</si>
  <si>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</si>
  <si>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</si>
  <si>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</si>
  <si>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</si>
  <si>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</si>
  <si>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</si>
  <si>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</si>
  <si>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</si>
  <si>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</si>
  <si>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</si>
  <si>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</si>
  <si>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</si>
  <si>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</si>
  <si>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</si>
  <si>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</si>
  <si>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</si>
  <si>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</si>
  <si>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</si>
  <si>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</si>
  <si>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</si>
  <si>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</si>
  <si>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</si>
  <si>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</si>
  <si>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</si>
  <si>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</si>
  <si>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</si>
  <si>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</si>
  <si>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</si>
  <si>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</si>
  <si>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</si>
  <si>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</si>
  <si>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</si>
  <si>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</si>
  <si>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</si>
  <si>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</si>
  <si>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</si>
  <si>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</si>
  <si>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</si>
  <si>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</si>
  <si>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</si>
  <si>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</si>
  <si>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</si>
  <si>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</si>
  <si>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</si>
  <si>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</si>
  <si>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</si>
  <si>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</si>
  <si>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</si>
  <si>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</si>
  <si>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</si>
  <si>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</si>
  <si>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</si>
  <si>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</si>
  <si>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</si>
  <si>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</si>
  <si>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</si>
  <si>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</si>
  <si>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</si>
  <si>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</si>
  <si>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</si>
  <si>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Property, plant and equipment written off</t>
  </si>
  <si>
    <t xml:space="preserve"> Proceed from disposal of property, plant and equipment </t>
  </si>
  <si>
    <t xml:space="preserve"> Dividend paid to minority shareholders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</si>
  <si>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</si>
  <si>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</si>
  <si>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</si>
  <si>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</si>
  <si>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</si>
  <si>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</si>
  <si>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</si>
  <si>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</si>
  <si>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</si>
  <si>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</si>
  <si>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</si>
  <si>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</si>
  <si>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Profit From Operations</t>
  </si>
  <si>
    <t xml:space="preserve">Profit Before Taxation </t>
  </si>
  <si>
    <t xml:space="preserve"> Net (decrease) / increase in cash and cash equivalent</t>
  </si>
  <si>
    <t xml:space="preserve"> Collection from doubtful debts written back</t>
  </si>
  <si>
    <t xml:space="preserve"> Loss/(Gain) on disposal of property, plant and equipment</t>
  </si>
  <si>
    <t xml:space="preserve"> Provision for diminution in value</t>
  </si>
  <si>
    <t xml:space="preserve"> Provision for doubtful debts</t>
  </si>
  <si>
    <t>FOR THE QUARTER ENDED 30/09/05</t>
  </si>
  <si>
    <t xml:space="preserve"> Decrease / (Increase) in inventories</t>
  </si>
  <si>
    <t xml:space="preserve"> Decrease / (Increase) in receivables</t>
  </si>
  <si>
    <t xml:space="preserve"> Decrease / (Increase) in payables</t>
  </si>
  <si>
    <t>3 months quarter ended 30/09/04</t>
  </si>
  <si>
    <t>At 30 Sept, 2004</t>
  </si>
  <si>
    <t>3 months quarter ended 30/09/05</t>
  </si>
  <si>
    <t>At 1 July, 2005</t>
  </si>
  <si>
    <t>At 30 Sept, 2005</t>
  </si>
  <si>
    <t>Annual Financial Report for the year ended 30/06/05 )</t>
  </si>
  <si>
    <t>Annual Financial Report for the year ended 30/06/05)</t>
  </si>
  <si>
    <t xml:space="preserve"> Acquisition of subsidiary, Pinehill Ventures Sdn Bhd, net</t>
  </si>
  <si>
    <t xml:space="preserve">    of cash acquired (Note 1)</t>
  </si>
  <si>
    <t xml:space="preserve"> Repayment of short term loan </t>
  </si>
  <si>
    <t>Acquisition of subsidiary, Pinehill Ventures Sdn Bhd,</t>
  </si>
  <si>
    <t>net of cash acquired (Note 1)</t>
  </si>
  <si>
    <t>Property, plant &amp; equipment</t>
  </si>
  <si>
    <t>Other Receivables</t>
  </si>
  <si>
    <t>Other Payables</t>
  </si>
  <si>
    <t>Minority Interest (30%)</t>
  </si>
  <si>
    <t>Share of net assets acquired (70%)</t>
  </si>
  <si>
    <t xml:space="preserve">Goodwill on acquisition </t>
  </si>
  <si>
    <t xml:space="preserve">Total purchase consideration </t>
  </si>
  <si>
    <t xml:space="preserve">Less: Cash and bank balances of subsidiary acquired </t>
  </si>
  <si>
    <t xml:space="preserve">Cash flow on acquisition, net of cash acquired </t>
  </si>
  <si>
    <t>Notes to consolidated Cash Flow Statement:</t>
  </si>
  <si>
    <t xml:space="preserve">Merchantable Forest Resources </t>
  </si>
  <si>
    <t xml:space="preserve"> Repayment of hire purchase </t>
  </si>
  <si>
    <t xml:space="preserve"> Proceeds from ABS exercise</t>
  </si>
  <si>
    <t>DATE ISSUED : 21/11/05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</si>
</sst>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_ ;[Red]\-0\ "/>
    <numFmt numFmtId="179" formatCode="_(* #,##0_);_(* \(#,##0\);_(* &quot;-&quot;??_);_(@_)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;[Red]\(&quot;$&quot;#,##0\)"/>
    <numFmt numFmtId="186" formatCode="#,##0;[Red]\(&quot;$&quot;#,##0\)"/>
    <numFmt numFmtId="187" formatCode="#,##0;[Red]\(#,##0\)"/>
    <numFmt numFmtId="188" formatCode="#,##0;[Red]\(\ #,##0\ \)"/>
    <numFmt numFmtId="189" formatCode="[$-809]dd\ mmmm\ yyyy"/>
    <numFmt numFmtId="190" formatCode="dd/mm/yy;@"/>
    <numFmt numFmtId="191" formatCode="#,##0_ ;[Red]\-#,##0\ "/>
    <numFmt numFmtId="192" formatCode="#,##0.0_);\(#,##0.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9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9" fontId="0" fillId="0" borderId="0" xfId="15" applyNumberFormat="1" applyFont="1" applyBorder="1" applyAlignment="1">
      <alignment horizontal="right"/>
    </xf>
    <xf numFmtId="179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9" fontId="0" fillId="0" borderId="0" xfId="15" applyNumberFormat="1" applyAlignment="1">
      <alignment/>
    </xf>
    <xf numFmtId="179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79" fontId="3" fillId="0" borderId="0" xfId="15" applyNumberFormat="1" applyFont="1" applyAlignment="1" applyProtection="1">
      <alignment horizontal="right"/>
      <protection/>
    </xf>
    <xf numFmtId="179" fontId="3" fillId="0" borderId="0" xfId="15" applyNumberFormat="1" applyFont="1" applyAlignment="1">
      <alignment horizontal="right"/>
    </xf>
    <xf numFmtId="179" fontId="3" fillId="0" borderId="1" xfId="15" applyNumberFormat="1" applyFont="1" applyBorder="1" applyAlignment="1">
      <alignment horizontal="right"/>
    </xf>
    <xf numFmtId="179" fontId="3" fillId="0" borderId="2" xfId="15" applyNumberFormat="1" applyFont="1" applyBorder="1" applyAlignment="1">
      <alignment horizontal="right"/>
    </xf>
    <xf numFmtId="171" fontId="3" fillId="0" borderId="2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2" fillId="0" borderId="0" xfId="0" applyNumberFormat="1" applyFont="1" applyAlignment="1">
      <alignment horizontal="center"/>
    </xf>
    <xf numFmtId="191" fontId="3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171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190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9" fontId="3" fillId="0" borderId="0" xfId="15" applyNumberFormat="1" applyFont="1" applyBorder="1" applyAlignment="1" applyProtection="1">
      <alignment horizontal="right"/>
      <protection/>
    </xf>
    <xf numFmtId="179" fontId="3" fillId="0" borderId="0" xfId="15" applyNumberFormat="1" applyFont="1" applyBorder="1" applyAlignment="1">
      <alignment horizontal="right"/>
    </xf>
    <xf numFmtId="179" fontId="3" fillId="0" borderId="0" xfId="15" applyNumberFormat="1" applyFont="1" applyBorder="1" applyAlignment="1">
      <alignment/>
    </xf>
    <xf numFmtId="179" fontId="0" fillId="0" borderId="0" xfId="15" applyNumberFormat="1" applyBorder="1" applyAlignment="1">
      <alignment/>
    </xf>
    <xf numFmtId="190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quotePrefix="1">
      <alignment/>
    </xf>
    <xf numFmtId="37" fontId="3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wrapText="1"/>
    </xf>
    <xf numFmtId="37" fontId="0" fillId="0" borderId="0" xfId="0" applyNumberFormat="1" applyBorder="1" applyAlignment="1">
      <alignment/>
    </xf>
    <xf numFmtId="37" fontId="8" fillId="0" borderId="0" xfId="0" applyNumberFormat="1" applyFont="1" applyBorder="1" applyAlignment="1">
      <alignment wrapText="1"/>
    </xf>
    <xf numFmtId="37" fontId="11" fillId="0" borderId="2" xfId="0" applyNumberFormat="1" applyFont="1" applyBorder="1" applyAlignment="1">
      <alignment/>
    </xf>
    <xf numFmtId="37" fontId="7" fillId="0" borderId="0" xfId="0" applyNumberFormat="1" applyFont="1" applyAlignment="1">
      <alignment wrapText="1"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6" fillId="0" borderId="0" xfId="0" applyNumberFormat="1" applyFont="1" applyAlignment="1">
      <alignment wrapText="1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vertical="top" wrapText="1"/>
    </xf>
    <xf numFmtId="37" fontId="8" fillId="0" borderId="0" xfId="0" applyNumberFormat="1" applyFont="1" applyBorder="1" applyAlignment="1">
      <alignment vertical="top" wrapText="1"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 vertical="top" wrapText="1"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4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>
      <alignment/>
    </xf>
    <xf numFmtId="39" fontId="12" fillId="0" borderId="0" xfId="15" applyNumberFormat="1" applyFont="1" applyAlignment="1" applyProtection="1">
      <alignment/>
      <protection/>
    </xf>
    <xf numFmtId="39" fontId="12" fillId="0" borderId="0" xfId="15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40</v>
      </c>
    </row>
    <row r="2" ht="12.75">
      <c r="E2" t="s">
        <v>0</v>
      </c>
    </row>
    <row r="3" s="41" customFormat="1" ht="12.75">
      <c r="A3" s="41" t="s">
        <v>70</v>
      </c>
    </row>
    <row r="4" s="41" customFormat="1" ht="12.75">
      <c r="A4" s="41" t="s">
        <v>129</v>
      </c>
    </row>
    <row r="6" spans="2:6" s="7" customFormat="1" ht="12.75">
      <c r="B6" s="110" t="s">
        <v>71</v>
      </c>
      <c r="C6" s="110"/>
      <c r="E6" s="110" t="s">
        <v>74</v>
      </c>
      <c r="F6" s="110"/>
    </row>
    <row r="7" spans="2:6" s="7" customFormat="1" ht="12.75">
      <c r="B7" s="7" t="s">
        <v>72</v>
      </c>
      <c r="C7" s="7" t="s">
        <v>97</v>
      </c>
      <c r="E7" s="7" t="s">
        <v>72</v>
      </c>
      <c r="F7" s="7" t="s">
        <v>97</v>
      </c>
    </row>
    <row r="8" spans="2:6" s="7" customFormat="1" ht="12.75">
      <c r="B8" s="7" t="s">
        <v>95</v>
      </c>
      <c r="C8" s="7" t="s">
        <v>96</v>
      </c>
      <c r="E8" s="7" t="s">
        <v>95</v>
      </c>
      <c r="F8" s="7" t="s">
        <v>96</v>
      </c>
    </row>
    <row r="9" spans="2:6" s="7" customFormat="1" ht="12.75">
      <c r="B9" s="7" t="s">
        <v>73</v>
      </c>
      <c r="C9" s="7" t="s">
        <v>73</v>
      </c>
      <c r="E9" s="7" t="s">
        <v>99</v>
      </c>
      <c r="F9" s="7" t="s">
        <v>100</v>
      </c>
    </row>
    <row r="10" spans="2:6" s="7" customFormat="1" ht="12.75">
      <c r="B10" s="54">
        <v>38625</v>
      </c>
      <c r="C10" s="54">
        <v>38260</v>
      </c>
      <c r="D10" s="54"/>
      <c r="E10" s="54">
        <f>+B10</f>
        <v>38625</v>
      </c>
      <c r="F10" s="54">
        <f>+C10</f>
        <v>38260</v>
      </c>
    </row>
    <row r="11" spans="2:6" s="41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s="72" customFormat="1" ht="12.75">
      <c r="A13" s="72" t="s">
        <v>75</v>
      </c>
      <c r="B13" s="72">
        <f>13062500</f>
        <v>13062500</v>
      </c>
      <c r="C13" s="72">
        <f>13850421</f>
        <v>13850421</v>
      </c>
      <c r="E13" s="72">
        <f>13062500</f>
        <v>13062500</v>
      </c>
      <c r="F13" s="72">
        <v>13850421</v>
      </c>
    </row>
    <row r="14" s="72" customFormat="1" ht="12.75"/>
    <row r="15" spans="1:6" s="72" customFormat="1" ht="12.75">
      <c r="A15" s="72" t="s">
        <v>76</v>
      </c>
      <c r="B15" s="72">
        <f>-B13+B19-B17</f>
        <v>-11719149</v>
      </c>
      <c r="C15" s="72">
        <f>-13181222</f>
        <v>-13181222</v>
      </c>
      <c r="E15" s="72">
        <f>-E13+E19-E17</f>
        <v>-11719149</v>
      </c>
      <c r="F15" s="72">
        <f>-13181222</f>
        <v>-13181222</v>
      </c>
    </row>
    <row r="16" s="72" customFormat="1" ht="12.75">
      <c r="A16" s="72" t="s">
        <v>0</v>
      </c>
    </row>
    <row r="17" spans="1:6" s="72" customFormat="1" ht="12.75">
      <c r="A17" s="72" t="s">
        <v>77</v>
      </c>
      <c r="B17" s="72">
        <f>14270</f>
        <v>14270</v>
      </c>
      <c r="C17" s="72">
        <f>34072</f>
        <v>34072</v>
      </c>
      <c r="E17" s="72">
        <f>14270</f>
        <v>14270</v>
      </c>
      <c r="F17" s="72">
        <v>34072</v>
      </c>
    </row>
    <row r="18" spans="2:6" s="72" customFormat="1" ht="12.75">
      <c r="B18" s="73"/>
      <c r="C18" s="73"/>
      <c r="E18" s="73"/>
      <c r="F18" s="73"/>
    </row>
    <row r="19" spans="1:6" s="72" customFormat="1" ht="12.75">
      <c r="A19" s="72" t="s">
        <v>122</v>
      </c>
      <c r="B19" s="72">
        <f>1357621</f>
        <v>1357621</v>
      </c>
      <c r="C19" s="72">
        <f>703271</f>
        <v>703271</v>
      </c>
      <c r="E19" s="72">
        <f>+B19</f>
        <v>1357621</v>
      </c>
      <c r="F19" s="72">
        <f>SUM(F13:F18)</f>
        <v>703271</v>
      </c>
    </row>
    <row r="20" s="72" customFormat="1" ht="12.75"/>
    <row r="21" spans="1:6" s="72" customFormat="1" ht="12.75">
      <c r="A21" s="72" t="s">
        <v>78</v>
      </c>
      <c r="B21" s="72">
        <f>-674148</f>
        <v>-674148</v>
      </c>
      <c r="C21" s="72">
        <f>-215967</f>
        <v>-215967</v>
      </c>
      <c r="E21" s="72">
        <f>-674148</f>
        <v>-674148</v>
      </c>
      <c r="F21" s="72">
        <f>-215967</f>
        <v>-215967</v>
      </c>
    </row>
    <row r="22" spans="2:6" s="72" customFormat="1" ht="12.75">
      <c r="B22" s="73"/>
      <c r="C22" s="73"/>
      <c r="E22" s="73"/>
      <c r="F22" s="73"/>
    </row>
    <row r="23" spans="1:6" s="72" customFormat="1" ht="12.75">
      <c r="A23" s="72" t="s">
        <v>123</v>
      </c>
      <c r="B23" s="72">
        <f>+B19+B21</f>
        <v>683473</v>
      </c>
      <c r="C23" s="72">
        <f>+C19+C21</f>
        <v>487304</v>
      </c>
      <c r="E23" s="72">
        <f>+E19+E21</f>
        <v>683473</v>
      </c>
      <c r="F23" s="72">
        <f>+F19+F21</f>
        <v>487304</v>
      </c>
    </row>
    <row r="24" s="72" customFormat="1" ht="12.75"/>
    <row r="25" spans="1:6" s="72" customFormat="1" ht="12.75">
      <c r="A25" s="72" t="s">
        <v>79</v>
      </c>
      <c r="B25" s="72">
        <f>-454884</f>
        <v>-454884</v>
      </c>
      <c r="C25" s="72">
        <f>-417856</f>
        <v>-417856</v>
      </c>
      <c r="E25" s="72">
        <f>-454884</f>
        <v>-454884</v>
      </c>
      <c r="F25" s="72">
        <f>-417856</f>
        <v>-417856</v>
      </c>
    </row>
    <row r="26" spans="2:6" s="72" customFormat="1" ht="12.75">
      <c r="B26" s="73"/>
      <c r="C26" s="73"/>
      <c r="E26" s="73"/>
      <c r="F26" s="73"/>
    </row>
    <row r="27" spans="1:6" s="72" customFormat="1" ht="12.75">
      <c r="A27" s="72" t="s">
        <v>80</v>
      </c>
      <c r="B27" s="72">
        <f>+B23+B25</f>
        <v>228589</v>
      </c>
      <c r="C27" s="72">
        <f>+C23+C25</f>
        <v>69448</v>
      </c>
      <c r="E27" s="72">
        <f>+E23+E25</f>
        <v>228589</v>
      </c>
      <c r="F27" s="72">
        <f>+F23+F25</f>
        <v>69448</v>
      </c>
    </row>
    <row r="28" s="72" customFormat="1" ht="12.75"/>
    <row r="29" spans="1:6" s="72" customFormat="1" ht="12.75">
      <c r="A29" s="72" t="s">
        <v>81</v>
      </c>
      <c r="B29" s="72">
        <f>-49416</f>
        <v>-49416</v>
      </c>
      <c r="C29" s="72">
        <f>-36825</f>
        <v>-36825</v>
      </c>
      <c r="E29" s="72">
        <f>-49416</f>
        <v>-49416</v>
      </c>
      <c r="F29" s="72">
        <f>-36825</f>
        <v>-36825</v>
      </c>
    </row>
    <row r="30" s="72" customFormat="1" ht="12.75"/>
    <row r="31" spans="1:6" s="72" customFormat="1" ht="13.5" thickBot="1">
      <c r="A31" s="72" t="s">
        <v>82</v>
      </c>
      <c r="B31" s="74">
        <f>+B27+B29</f>
        <v>179173</v>
      </c>
      <c r="C31" s="74">
        <f>+C27+C29</f>
        <v>32623</v>
      </c>
      <c r="E31" s="74">
        <f>+E27+E29</f>
        <v>179173</v>
      </c>
      <c r="F31" s="74">
        <f>+F27+F29</f>
        <v>32623</v>
      </c>
    </row>
    <row r="32" s="72" customFormat="1" ht="12.75"/>
    <row r="33" s="72" customFormat="1" ht="12.75"/>
    <row r="34" s="72" customFormat="1" ht="12.75"/>
    <row r="35" spans="1:6" s="72" customFormat="1" ht="12.75">
      <c r="A35" s="72" t="s">
        <v>83</v>
      </c>
      <c r="B35" s="98">
        <f>B31/149804/10</f>
        <v>0.11960495046861233</v>
      </c>
      <c r="C35" s="98">
        <f>C31/149804/10</f>
        <v>0.021777122106218794</v>
      </c>
      <c r="E35" s="98">
        <f>E31/149804/10</f>
        <v>0.11960495046861233</v>
      </c>
      <c r="F35" s="98">
        <f>F31/149804/10</f>
        <v>0.021777122106218794</v>
      </c>
    </row>
    <row r="36" s="72" customFormat="1" ht="12.75"/>
    <row r="37" s="72" customFormat="1" ht="12.75"/>
    <row r="38" spans="1:3" s="72" customFormat="1" ht="12.75">
      <c r="A38" s="75" t="s">
        <v>84</v>
      </c>
      <c r="B38" s="75"/>
      <c r="C38" s="75"/>
    </row>
    <row r="39" spans="1:3" s="72" customFormat="1" ht="12.75">
      <c r="A39" s="75" t="s">
        <v>138</v>
      </c>
      <c r="B39" s="75"/>
      <c r="C39" s="75"/>
    </row>
    <row r="40" s="72" customFormat="1" ht="12.75"/>
    <row r="41" s="72" customFormat="1" ht="12.75"/>
    <row r="42" s="72" customFormat="1" ht="12.75"/>
    <row r="43" s="72" customFormat="1" ht="12.75"/>
    <row r="44" s="72" customFormat="1" ht="12.75"/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Normal="75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52.421875" style="0" customWidth="1"/>
    <col min="3" max="3" width="1.57421875" style="0" customWidth="1"/>
    <col min="4" max="4" width="18.00390625" style="72" customWidth="1"/>
    <col min="5" max="5" width="15.140625" style="72" customWidth="1"/>
    <col min="6" max="6" width="12.28125" style="0" bestFit="1" customWidth="1"/>
  </cols>
  <sheetData>
    <row r="1" spans="1:4" ht="15.75">
      <c r="A1" s="1" t="s">
        <v>40</v>
      </c>
      <c r="D1" s="106"/>
    </row>
    <row r="2" spans="1:4" ht="15.75">
      <c r="A2" s="1"/>
      <c r="D2" s="106"/>
    </row>
    <row r="3" spans="1:4" ht="15.75">
      <c r="A3" s="1" t="s">
        <v>154</v>
      </c>
      <c r="D3" s="106"/>
    </row>
    <row r="5" spans="1:5" s="41" customFormat="1" ht="12.75">
      <c r="A5" s="41" t="s">
        <v>143</v>
      </c>
      <c r="D5" s="75"/>
      <c r="E5" s="75"/>
    </row>
    <row r="6" spans="2:5" s="41" customFormat="1" ht="12.75">
      <c r="B6" s="41" t="s">
        <v>144</v>
      </c>
      <c r="D6" s="75"/>
      <c r="E6" s="75"/>
    </row>
    <row r="7" ht="12.75">
      <c r="D7" s="105" t="s">
        <v>13</v>
      </c>
    </row>
    <row r="9" spans="2:4" ht="12.75">
      <c r="B9" t="s">
        <v>155</v>
      </c>
      <c r="D9" s="72">
        <f>234000000</f>
        <v>234000000</v>
      </c>
    </row>
    <row r="10" spans="2:5" ht="12.75">
      <c r="B10" t="s">
        <v>145</v>
      </c>
      <c r="D10" s="72">
        <v>30222707</v>
      </c>
      <c r="E10" s="72" t="s">
        <v>0</v>
      </c>
    </row>
    <row r="11" spans="2:4" ht="12.75">
      <c r="B11" t="s">
        <v>146</v>
      </c>
      <c r="D11" s="72">
        <v>1155407</v>
      </c>
    </row>
    <row r="12" spans="2:4" ht="12.75">
      <c r="B12" t="s">
        <v>56</v>
      </c>
      <c r="D12" s="72">
        <v>662233</v>
      </c>
    </row>
    <row r="13" spans="2:4" ht="12.75">
      <c r="B13" t="s">
        <v>147</v>
      </c>
      <c r="D13" s="72">
        <v>-4791680</v>
      </c>
    </row>
    <row r="14" spans="2:4" ht="12.75">
      <c r="B14" t="s">
        <v>35</v>
      </c>
      <c r="D14" s="72">
        <f>-76244400</f>
        <v>-76244400</v>
      </c>
    </row>
    <row r="15" spans="2:6" ht="12.75">
      <c r="B15" t="s">
        <v>148</v>
      </c>
      <c r="D15" s="73">
        <f>-86166995</f>
        <v>-86166995</v>
      </c>
      <c r="F15" t="s">
        <v>0</v>
      </c>
    </row>
    <row r="17" spans="2:6" ht="12.75">
      <c r="B17" t="s">
        <v>149</v>
      </c>
      <c r="D17" s="72">
        <v>98837272</v>
      </c>
      <c r="F17" s="72" t="s">
        <v>0</v>
      </c>
    </row>
    <row r="18" spans="2:5" ht="12.75">
      <c r="B18" t="s">
        <v>150</v>
      </c>
      <c r="D18" s="73">
        <v>-37242092</v>
      </c>
      <c r="E18" s="72" t="s">
        <v>0</v>
      </c>
    </row>
    <row r="19" ht="12.75">
      <c r="E19" s="72" t="s">
        <v>0</v>
      </c>
    </row>
    <row r="20" spans="2:6" ht="12.75">
      <c r="B20" t="s">
        <v>151</v>
      </c>
      <c r="D20" s="72">
        <f>+D17+D18</f>
        <v>61595180</v>
      </c>
      <c r="F20" s="72" t="s">
        <v>0</v>
      </c>
    </row>
    <row r="21" spans="2:4" ht="12.75">
      <c r="B21" t="s">
        <v>152</v>
      </c>
      <c r="D21" s="72">
        <v>-662233</v>
      </c>
    </row>
    <row r="23" spans="2:5" s="41" customFormat="1" ht="13.5" thickBot="1">
      <c r="B23" s="41" t="s">
        <v>153</v>
      </c>
      <c r="D23" s="95">
        <v>60932947</v>
      </c>
      <c r="E23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7" sqref="A17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  <col min="7" max="7" width="9.7109375" style="0" bestFit="1" customWidth="1"/>
  </cols>
  <sheetData>
    <row r="1" ht="15.75">
      <c r="A1" s="1" t="s">
        <v>40</v>
      </c>
    </row>
    <row r="3" spans="1:6" ht="12.75">
      <c r="A3" s="41" t="s">
        <v>39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1" t="s">
        <v>129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</row>
    <row r="5" spans="2:6" s="39" customFormat="1" ht="12.75">
      <c r="B5" s="8" t="s">
        <v>105</v>
      </c>
      <c r="C5" s="8" t="s">
        <v>106</v>
      </c>
      <c r="D5" s="8" t="s">
        <v>104</v>
      </c>
      <c r="E5" s="8" t="s">
        <v>105</v>
      </c>
      <c r="F5" s="8" t="str">
        <f>+B5</f>
        <v>3 Months</v>
      </c>
    </row>
    <row r="6" spans="1:6" s="39" customFormat="1" ht="15" customHeight="1">
      <c r="A6" s="44"/>
      <c r="B6" s="8" t="s">
        <v>98</v>
      </c>
      <c r="C6" s="8" t="s">
        <v>98</v>
      </c>
      <c r="D6" s="8" t="s">
        <v>98</v>
      </c>
      <c r="E6" s="8" t="s">
        <v>98</v>
      </c>
      <c r="F6" s="8" t="s">
        <v>98</v>
      </c>
    </row>
    <row r="7" spans="1:6" s="39" customFormat="1" ht="15" customHeight="1">
      <c r="A7" s="44"/>
      <c r="B7" s="54">
        <f>+PL!E10</f>
        <v>38625</v>
      </c>
      <c r="C7" s="54">
        <v>37711</v>
      </c>
      <c r="D7" s="54">
        <v>37621</v>
      </c>
      <c r="E7" s="54">
        <v>37529</v>
      </c>
      <c r="F7" s="54">
        <f>+PL!F10</f>
        <v>38260</v>
      </c>
    </row>
    <row r="8" spans="1:6" s="39" customFormat="1" ht="15" customHeight="1">
      <c r="A8" s="44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2" t="s">
        <v>41</v>
      </c>
    </row>
    <row r="10" ht="9" customHeight="1">
      <c r="A10" s="43"/>
    </row>
    <row r="11" spans="1:6" s="72" customFormat="1" ht="13.5" customHeight="1">
      <c r="A11" s="76" t="s">
        <v>42</v>
      </c>
      <c r="B11" s="72">
        <f>683473</f>
        <v>683473</v>
      </c>
      <c r="C11" s="72">
        <v>-1946829</v>
      </c>
      <c r="D11" s="72">
        <v>-1032158</v>
      </c>
      <c r="E11" s="72">
        <v>-23123</v>
      </c>
      <c r="F11" s="72">
        <f>487304</f>
        <v>487304</v>
      </c>
    </row>
    <row r="12" s="72" customFormat="1" ht="6" customHeight="1">
      <c r="A12" s="76"/>
    </row>
    <row r="13" s="72" customFormat="1" ht="13.5" customHeight="1">
      <c r="A13" s="76" t="s">
        <v>43</v>
      </c>
    </row>
    <row r="14" s="72" customFormat="1" ht="8.25" customHeight="1">
      <c r="A14" s="76"/>
    </row>
    <row r="15" spans="1:6" s="72" customFormat="1" ht="13.5" customHeight="1">
      <c r="A15" s="76" t="s">
        <v>44</v>
      </c>
      <c r="B15" s="72">
        <f>1413799</f>
        <v>1413799</v>
      </c>
      <c r="C15" s="72">
        <v>4314737</v>
      </c>
      <c r="D15" s="72">
        <v>2840850</v>
      </c>
      <c r="E15" s="72">
        <v>1405073</v>
      </c>
      <c r="F15" s="72">
        <f>1199417</f>
        <v>1199417</v>
      </c>
    </row>
    <row r="16" spans="1:6" s="72" customFormat="1" ht="13.5" customHeight="1" hidden="1">
      <c r="A16" s="76" t="s">
        <v>119</v>
      </c>
      <c r="B16" s="72">
        <v>0</v>
      </c>
      <c r="F16" s="72">
        <v>0</v>
      </c>
    </row>
    <row r="17" spans="1:6" s="72" customFormat="1" ht="13.5" customHeight="1">
      <c r="A17" s="76" t="s">
        <v>59</v>
      </c>
      <c r="B17" s="72">
        <f>158034</f>
        <v>158034</v>
      </c>
      <c r="C17" s="72">
        <v>436771</v>
      </c>
      <c r="D17" s="72">
        <v>280116</v>
      </c>
      <c r="E17" s="72">
        <v>135931</v>
      </c>
      <c r="F17" s="77">
        <f>196349</f>
        <v>196349</v>
      </c>
    </row>
    <row r="18" spans="1:6" s="72" customFormat="1" ht="13.5" customHeight="1" hidden="1">
      <c r="A18" s="76" t="s">
        <v>114</v>
      </c>
      <c r="B18" s="72">
        <v>0</v>
      </c>
      <c r="C18" s="72">
        <v>3670</v>
      </c>
      <c r="D18" s="72">
        <v>3670</v>
      </c>
      <c r="F18" s="72">
        <v>0</v>
      </c>
    </row>
    <row r="19" spans="1:6" s="72" customFormat="1" ht="13.5" customHeight="1">
      <c r="A19" s="76" t="s">
        <v>126</v>
      </c>
      <c r="B19" s="72">
        <f>-8000</f>
        <v>-8000</v>
      </c>
      <c r="C19" s="72">
        <v>-82799</v>
      </c>
      <c r="D19" s="72">
        <v>-82799</v>
      </c>
      <c r="F19" s="72">
        <v>258</v>
      </c>
    </row>
    <row r="20" spans="1:6" s="72" customFormat="1" ht="13.5" customHeight="1" hidden="1">
      <c r="A20" s="76" t="s">
        <v>118</v>
      </c>
      <c r="B20" s="72">
        <v>0</v>
      </c>
      <c r="C20" s="72">
        <v>-82799</v>
      </c>
      <c r="D20" s="72">
        <v>-82799</v>
      </c>
      <c r="F20" s="72">
        <v>0</v>
      </c>
    </row>
    <row r="21" spans="1:6" s="72" customFormat="1" ht="13.5" customHeight="1" hidden="1">
      <c r="A21" s="76" t="s">
        <v>116</v>
      </c>
      <c r="B21" s="72">
        <v>0</v>
      </c>
      <c r="F21" s="72">
        <v>0</v>
      </c>
    </row>
    <row r="22" spans="1:6" s="72" customFormat="1" ht="13.5">
      <c r="A22" s="76" t="s">
        <v>46</v>
      </c>
      <c r="B22" s="72">
        <f>682795</f>
        <v>682795</v>
      </c>
      <c r="C22" s="72">
        <v>696731</v>
      </c>
      <c r="D22" s="72">
        <v>455523</v>
      </c>
      <c r="E22" s="72">
        <v>217805</v>
      </c>
      <c r="F22" s="72">
        <f>214122</f>
        <v>214122</v>
      </c>
    </row>
    <row r="23" spans="1:6" s="77" customFormat="1" ht="13.5">
      <c r="A23" s="78" t="s">
        <v>61</v>
      </c>
      <c r="B23" s="72">
        <f>-8647</f>
        <v>-8647</v>
      </c>
      <c r="C23" s="77">
        <v>-13230</v>
      </c>
      <c r="D23" s="77">
        <v>-480</v>
      </c>
      <c r="E23" s="77">
        <v>-30</v>
      </c>
      <c r="F23" s="77">
        <f>-3456</f>
        <v>-3456</v>
      </c>
    </row>
    <row r="24" spans="1:6" s="77" customFormat="1" ht="13.5" hidden="1">
      <c r="A24" s="78" t="s">
        <v>117</v>
      </c>
      <c r="B24" s="72">
        <v>0</v>
      </c>
      <c r="F24" s="77">
        <v>0</v>
      </c>
    </row>
    <row r="25" spans="1:6" s="72" customFormat="1" ht="13.5" hidden="1">
      <c r="A25" s="76" t="s">
        <v>107</v>
      </c>
      <c r="B25" s="72">
        <v>0</v>
      </c>
      <c r="C25" s="77"/>
      <c r="D25" s="77"/>
      <c r="E25" s="77"/>
      <c r="F25" s="77">
        <v>0</v>
      </c>
    </row>
    <row r="26" spans="1:6" s="72" customFormat="1" ht="13.5" hidden="1">
      <c r="A26" s="76" t="s">
        <v>128</v>
      </c>
      <c r="B26" s="72">
        <v>0</v>
      </c>
      <c r="C26" s="77"/>
      <c r="D26" s="77"/>
      <c r="E26" s="77"/>
      <c r="F26" s="77">
        <v>0</v>
      </c>
    </row>
    <row r="27" spans="1:6" s="72" customFormat="1" ht="13.5" customHeight="1" hidden="1">
      <c r="A27" s="76" t="s">
        <v>127</v>
      </c>
      <c r="B27" s="72">
        <v>0</v>
      </c>
      <c r="C27" s="77">
        <v>3670</v>
      </c>
      <c r="D27" s="77">
        <v>3670</v>
      </c>
      <c r="E27" s="77"/>
      <c r="F27" s="77">
        <v>0</v>
      </c>
    </row>
    <row r="28" spans="1:6" s="72" customFormat="1" ht="13.5" customHeight="1">
      <c r="A28" s="76"/>
      <c r="B28" s="73"/>
      <c r="C28" s="73"/>
      <c r="D28" s="73"/>
      <c r="E28" s="73"/>
      <c r="F28" s="79"/>
    </row>
    <row r="29" spans="1:6" s="75" customFormat="1" ht="13.5" customHeight="1">
      <c r="A29" s="80" t="s">
        <v>45</v>
      </c>
      <c r="B29" s="81">
        <f>SUM(B10:B28)</f>
        <v>2921454</v>
      </c>
      <c r="C29" s="81">
        <f>SUM(C11:C23)</f>
        <v>3326252</v>
      </c>
      <c r="D29" s="81">
        <f>SUM(D11:D23)</f>
        <v>2381923</v>
      </c>
      <c r="E29" s="81">
        <f>SUM(E11:E23)</f>
        <v>1735656</v>
      </c>
      <c r="F29" s="81">
        <f>SUM(F10:F28)</f>
        <v>2093994</v>
      </c>
    </row>
    <row r="30" s="72" customFormat="1" ht="8.25" customHeight="1">
      <c r="A30" s="76"/>
    </row>
    <row r="31" spans="1:6" s="72" customFormat="1" ht="13.5" customHeight="1">
      <c r="A31" s="76" t="s">
        <v>130</v>
      </c>
      <c r="B31" s="72">
        <f>506653</f>
        <v>506653</v>
      </c>
      <c r="C31" s="72">
        <v>-406699</v>
      </c>
      <c r="D31" s="72">
        <v>-44621</v>
      </c>
      <c r="E31" s="72">
        <v>-232224</v>
      </c>
      <c r="F31" s="72">
        <v>394576</v>
      </c>
    </row>
    <row r="32" spans="1:6" s="72" customFormat="1" ht="13.5" customHeight="1">
      <c r="A32" s="76" t="s">
        <v>131</v>
      </c>
      <c r="B32" s="72">
        <f>20197464</f>
        <v>20197464</v>
      </c>
      <c r="C32" s="72">
        <v>-2211227</v>
      </c>
      <c r="D32" s="72">
        <v>-2183151</v>
      </c>
      <c r="E32" s="72">
        <v>-1403290</v>
      </c>
      <c r="F32" s="72">
        <f>144837</f>
        <v>144837</v>
      </c>
    </row>
    <row r="33" spans="1:6" s="72" customFormat="1" ht="13.5">
      <c r="A33" s="76" t="s">
        <v>132</v>
      </c>
      <c r="B33" s="82">
        <f>-6273340</f>
        <v>-6273340</v>
      </c>
      <c r="C33" s="82">
        <v>-635928</v>
      </c>
      <c r="D33" s="82">
        <v>-357523</v>
      </c>
      <c r="E33" s="82">
        <v>208660</v>
      </c>
      <c r="F33" s="82">
        <v>-1204728</v>
      </c>
    </row>
    <row r="34" spans="1:6" s="75" customFormat="1" ht="13.5" customHeight="1">
      <c r="A34" s="80" t="s">
        <v>60</v>
      </c>
      <c r="B34" s="81">
        <f>+B29+B31+B32+B33</f>
        <v>17352231</v>
      </c>
      <c r="C34" s="81">
        <f>+C29+C31+C32+C33</f>
        <v>72398</v>
      </c>
      <c r="D34" s="81">
        <f>+D29+D31+D32+D33</f>
        <v>-203372</v>
      </c>
      <c r="E34" s="81">
        <f>+E29+E31+E32+E33</f>
        <v>308802</v>
      </c>
      <c r="F34" s="81">
        <f>+F29+F31+F32+F33</f>
        <v>1428679</v>
      </c>
    </row>
    <row r="35" s="72" customFormat="1" ht="9.75" customHeight="1">
      <c r="A35" s="76"/>
    </row>
    <row r="36" spans="1:6" s="72" customFormat="1" ht="13.5" customHeight="1">
      <c r="A36" s="76" t="s">
        <v>47</v>
      </c>
      <c r="B36" s="72">
        <f>-805707</f>
        <v>-805707</v>
      </c>
      <c r="C36" s="72">
        <v>-526208</v>
      </c>
      <c r="D36" s="72">
        <v>-340965</v>
      </c>
      <c r="E36" s="72">
        <v>-170507</v>
      </c>
      <c r="F36" s="72">
        <f>-112706</f>
        <v>-112706</v>
      </c>
    </row>
    <row r="37" spans="1:6" s="72" customFormat="1" ht="13.5">
      <c r="A37" s="76" t="s">
        <v>48</v>
      </c>
      <c r="B37" s="73">
        <f>8647</f>
        <v>8647</v>
      </c>
      <c r="C37" s="73">
        <v>13230</v>
      </c>
      <c r="D37" s="73">
        <v>480</v>
      </c>
      <c r="E37" s="73">
        <v>30</v>
      </c>
      <c r="F37" s="73">
        <v>3456</v>
      </c>
    </row>
    <row r="38" spans="1:6" s="72" customFormat="1" ht="13.5" customHeight="1">
      <c r="A38" s="80" t="s">
        <v>49</v>
      </c>
      <c r="B38" s="75">
        <f>+B34+B36+B37</f>
        <v>16555171</v>
      </c>
      <c r="C38" s="75">
        <f>+C34+C36+C37</f>
        <v>-440580</v>
      </c>
      <c r="D38" s="75">
        <f>+D34+D36+D37</f>
        <v>-543857</v>
      </c>
      <c r="E38" s="75">
        <f>+E34+E36+E37</f>
        <v>138325</v>
      </c>
      <c r="F38" s="75">
        <f>+F34+F36+F37</f>
        <v>1319429</v>
      </c>
    </row>
    <row r="39" s="72" customFormat="1" ht="9.75" customHeight="1">
      <c r="A39" s="76"/>
    </row>
    <row r="40" s="72" customFormat="1" ht="13.5">
      <c r="A40" s="80" t="s">
        <v>50</v>
      </c>
    </row>
    <row r="41" spans="1:6" s="72" customFormat="1" ht="13.5">
      <c r="A41" s="78" t="s">
        <v>0</v>
      </c>
      <c r="B41" s="73" t="s">
        <v>0</v>
      </c>
      <c r="C41" s="73">
        <v>-26954</v>
      </c>
      <c r="D41" s="73">
        <v>-26954</v>
      </c>
      <c r="E41" s="73">
        <v>-26954</v>
      </c>
      <c r="F41" s="73" t="s">
        <v>0</v>
      </c>
    </row>
    <row r="42" spans="1:6" s="72" customFormat="1" ht="13.5" hidden="1">
      <c r="A42" s="78" t="s">
        <v>102</v>
      </c>
      <c r="B42" s="83">
        <v>0</v>
      </c>
      <c r="C42" s="90">
        <v>21</v>
      </c>
      <c r="D42" s="90">
        <v>21</v>
      </c>
      <c r="E42" s="90">
        <v>20</v>
      </c>
      <c r="F42" s="83">
        <v>0</v>
      </c>
    </row>
    <row r="43" spans="1:6" s="72" customFormat="1" ht="13.5" hidden="1">
      <c r="A43" s="78" t="s">
        <v>103</v>
      </c>
      <c r="B43" s="84">
        <v>0</v>
      </c>
      <c r="C43" s="77">
        <v>2</v>
      </c>
      <c r="D43" s="77">
        <v>2</v>
      </c>
      <c r="E43" s="77"/>
      <c r="F43" s="84">
        <v>0</v>
      </c>
    </row>
    <row r="44" spans="1:6" s="72" customFormat="1" ht="13.5">
      <c r="A44" s="78" t="s">
        <v>108</v>
      </c>
      <c r="B44" s="84">
        <f>13200</f>
        <v>13200</v>
      </c>
      <c r="C44" s="77">
        <v>111737</v>
      </c>
      <c r="D44" s="77">
        <v>111735</v>
      </c>
      <c r="E44" s="77"/>
      <c r="F44" s="84">
        <v>63000</v>
      </c>
    </row>
    <row r="45" spans="1:6" s="72" customFormat="1" ht="13.5">
      <c r="A45" s="78" t="s">
        <v>51</v>
      </c>
      <c r="B45" s="84">
        <f>-45837</f>
        <v>-45837</v>
      </c>
      <c r="C45" s="77">
        <v>-591298</v>
      </c>
      <c r="D45" s="77">
        <v>-295876</v>
      </c>
      <c r="E45" s="77">
        <v>-88381</v>
      </c>
      <c r="F45" s="84">
        <f>-90478</f>
        <v>-90478</v>
      </c>
    </row>
    <row r="46" spans="1:6" s="72" customFormat="1" ht="13.5" hidden="1">
      <c r="A46" s="78" t="s">
        <v>112</v>
      </c>
      <c r="B46" s="84">
        <v>0</v>
      </c>
      <c r="C46" s="77">
        <v>-20000</v>
      </c>
      <c r="D46" s="77">
        <v>-20000</v>
      </c>
      <c r="E46" s="77"/>
      <c r="F46" s="84">
        <v>0</v>
      </c>
    </row>
    <row r="47" spans="1:6" s="72" customFormat="1" ht="13.5" hidden="1">
      <c r="A47" s="78" t="s">
        <v>113</v>
      </c>
      <c r="B47" s="84">
        <v>0</v>
      </c>
      <c r="C47" s="77">
        <v>-20000</v>
      </c>
      <c r="D47" s="77">
        <v>-20000</v>
      </c>
      <c r="E47" s="77"/>
      <c r="F47" s="84">
        <v>0</v>
      </c>
    </row>
    <row r="48" spans="1:6" s="72" customFormat="1" ht="13.5">
      <c r="A48" s="78" t="s">
        <v>140</v>
      </c>
      <c r="B48" s="84"/>
      <c r="C48" s="77"/>
      <c r="D48" s="77"/>
      <c r="E48" s="77"/>
      <c r="F48" s="84"/>
    </row>
    <row r="49" spans="1:6" s="72" customFormat="1" ht="13.5">
      <c r="A49" s="78" t="s">
        <v>141</v>
      </c>
      <c r="B49" s="84">
        <f>-60932947</f>
        <v>-60932947</v>
      </c>
      <c r="C49" s="77"/>
      <c r="D49" s="77"/>
      <c r="E49" s="77"/>
      <c r="F49" s="84">
        <v>0</v>
      </c>
    </row>
    <row r="50" spans="1:6" s="72" customFormat="1" ht="13.5" hidden="1">
      <c r="A50" s="78" t="s">
        <v>115</v>
      </c>
      <c r="B50" s="84">
        <v>0</v>
      </c>
      <c r="C50" s="77"/>
      <c r="D50" s="77"/>
      <c r="E50" s="77"/>
      <c r="F50" s="84">
        <v>0</v>
      </c>
    </row>
    <row r="51" spans="1:6" s="72" customFormat="1" ht="13.5">
      <c r="A51" s="78" t="s">
        <v>110</v>
      </c>
      <c r="B51" s="85">
        <f>-329051</f>
        <v>-329051</v>
      </c>
      <c r="C51" s="73">
        <v>-1223937</v>
      </c>
      <c r="D51" s="73">
        <v>-798238</v>
      </c>
      <c r="E51" s="73">
        <v>-609401</v>
      </c>
      <c r="F51" s="85">
        <f>-1343620</f>
        <v>-1343620</v>
      </c>
    </row>
    <row r="52" spans="1:6" s="72" customFormat="1" ht="13.5" hidden="1">
      <c r="A52" s="78" t="s">
        <v>62</v>
      </c>
      <c r="B52" s="85">
        <v>0</v>
      </c>
      <c r="C52" s="77">
        <v>333620</v>
      </c>
      <c r="D52" s="77">
        <v>333620</v>
      </c>
      <c r="E52" s="77">
        <v>333620</v>
      </c>
      <c r="F52" s="85">
        <v>0</v>
      </c>
    </row>
    <row r="53" spans="1:6" s="72" customFormat="1" ht="13.5">
      <c r="A53" s="78"/>
      <c r="B53" s="77"/>
      <c r="C53" s="77"/>
      <c r="D53" s="77"/>
      <c r="E53" s="77"/>
      <c r="F53" s="77"/>
    </row>
    <row r="54" spans="1:6" s="72" customFormat="1" ht="13.5" customHeight="1">
      <c r="A54" s="80" t="s">
        <v>52</v>
      </c>
      <c r="B54" s="75">
        <f>SUM(B41:B52)</f>
        <v>-61294635</v>
      </c>
      <c r="C54" s="75">
        <f>SUM(C41:C52)</f>
        <v>-1436809</v>
      </c>
      <c r="D54" s="75">
        <f>SUM(D41:D52)</f>
        <v>-715690</v>
      </c>
      <c r="E54" s="75">
        <f>SUM(E41:E52)</f>
        <v>-391096</v>
      </c>
      <c r="F54" s="75">
        <f>SUM(F41:F52)</f>
        <v>-1371098</v>
      </c>
    </row>
    <row r="55" s="72" customFormat="1" ht="12.75">
      <c r="A55" s="86"/>
    </row>
    <row r="56" s="72" customFormat="1" ht="13.5">
      <c r="A56" s="87"/>
    </row>
    <row r="57" s="72" customFormat="1" ht="13.5">
      <c r="A57" s="88" t="s">
        <v>53</v>
      </c>
    </row>
    <row r="58" spans="1:7" s="72" customFormat="1" ht="5.25" customHeight="1">
      <c r="A58" s="89"/>
      <c r="B58" s="73"/>
      <c r="C58" s="73"/>
      <c r="D58" s="73"/>
      <c r="E58" s="73"/>
      <c r="F58" s="73"/>
      <c r="G58" s="77"/>
    </row>
    <row r="59" spans="1:6" s="77" customFormat="1" ht="13.5" hidden="1">
      <c r="A59" s="89" t="s">
        <v>109</v>
      </c>
      <c r="B59" s="77">
        <v>0</v>
      </c>
      <c r="C59" s="77">
        <v>2500000</v>
      </c>
      <c r="D59" s="77">
        <v>2500000</v>
      </c>
      <c r="E59" s="77">
        <v>1000000</v>
      </c>
      <c r="F59" s="77">
        <v>0</v>
      </c>
    </row>
    <row r="60" spans="1:6" s="77" customFormat="1" ht="13.5" hidden="1">
      <c r="A60" s="89" t="s">
        <v>64</v>
      </c>
      <c r="B60" s="83">
        <v>0</v>
      </c>
      <c r="C60" s="90">
        <v>2500000</v>
      </c>
      <c r="D60" s="90">
        <v>2500000</v>
      </c>
      <c r="E60" s="90">
        <v>1000000</v>
      </c>
      <c r="F60" s="91">
        <v>0</v>
      </c>
    </row>
    <row r="61" spans="1:6" s="77" customFormat="1" ht="13.5">
      <c r="A61" s="89" t="s">
        <v>63</v>
      </c>
      <c r="B61" s="84">
        <f>-682795</f>
        <v>-682795</v>
      </c>
      <c r="C61" s="77">
        <v>-696731</v>
      </c>
      <c r="D61" s="77">
        <v>-455523</v>
      </c>
      <c r="E61" s="77">
        <v>-217805</v>
      </c>
      <c r="F61" s="92">
        <f>-214122</f>
        <v>-214122</v>
      </c>
    </row>
    <row r="62" spans="1:6" s="77" customFormat="1" ht="13.5" hidden="1">
      <c r="A62" s="89" t="s">
        <v>125</v>
      </c>
      <c r="B62" s="84">
        <v>0</v>
      </c>
      <c r="F62" s="92">
        <v>0</v>
      </c>
    </row>
    <row r="63" spans="1:6" s="77" customFormat="1" ht="13.5">
      <c r="A63" s="89" t="s">
        <v>142</v>
      </c>
      <c r="B63" s="84">
        <f>-20000000</f>
        <v>-20000000</v>
      </c>
      <c r="C63" s="77">
        <v>-762000</v>
      </c>
      <c r="D63" s="77">
        <v>-381000</v>
      </c>
      <c r="E63" s="77">
        <v>0</v>
      </c>
      <c r="F63" s="92">
        <v>0</v>
      </c>
    </row>
    <row r="64" spans="1:6" s="77" customFormat="1" ht="13.5">
      <c r="A64" s="89" t="s">
        <v>101</v>
      </c>
      <c r="B64" s="84">
        <f>-7259000</f>
        <v>-7259000</v>
      </c>
      <c r="C64" s="77">
        <v>-762000</v>
      </c>
      <c r="D64" s="77">
        <v>-381000</v>
      </c>
      <c r="E64" s="77">
        <v>0</v>
      </c>
      <c r="F64" s="92">
        <f>-381000</f>
        <v>-381000</v>
      </c>
    </row>
    <row r="65" spans="1:6" s="77" customFormat="1" ht="13.5">
      <c r="A65" s="89" t="s">
        <v>156</v>
      </c>
      <c r="B65" s="84">
        <f>-162651</f>
        <v>-162651</v>
      </c>
      <c r="F65" s="92">
        <f>-155881</f>
        <v>-155881</v>
      </c>
    </row>
    <row r="66" spans="1:6" s="77" customFormat="1" ht="13.5">
      <c r="A66" s="89" t="s">
        <v>157</v>
      </c>
      <c r="B66" s="85">
        <f>82206253</f>
        <v>82206253</v>
      </c>
      <c r="C66" s="73">
        <v>-534441</v>
      </c>
      <c r="D66" s="73">
        <v>-334225</v>
      </c>
      <c r="E66" s="73">
        <v>-185139</v>
      </c>
      <c r="F66" s="93">
        <v>0</v>
      </c>
    </row>
    <row r="67" spans="1:6" s="72" customFormat="1" ht="13.5">
      <c r="A67" s="89"/>
      <c r="B67" s="77"/>
      <c r="C67" s="77"/>
      <c r="D67" s="77"/>
      <c r="E67" s="77"/>
      <c r="F67" s="77"/>
    </row>
    <row r="68" spans="1:6" s="72" customFormat="1" ht="13.5">
      <c r="A68" s="80" t="s">
        <v>54</v>
      </c>
      <c r="B68" s="94">
        <f>SUM(B58:B66)</f>
        <v>54101807</v>
      </c>
      <c r="C68" s="94">
        <f>SUM(C58:C66)</f>
        <v>2244828</v>
      </c>
      <c r="D68" s="94">
        <f>SUM(D58:D66)</f>
        <v>3448252</v>
      </c>
      <c r="E68" s="94">
        <f>SUM(E58:E66)</f>
        <v>1597056</v>
      </c>
      <c r="F68" s="94">
        <f>SUM(F58:F66)</f>
        <v>-751003</v>
      </c>
    </row>
    <row r="69" spans="1:6" s="72" customFormat="1" ht="13.5">
      <c r="A69" s="80"/>
      <c r="B69" s="77"/>
      <c r="C69" s="77"/>
      <c r="D69" s="77"/>
      <c r="E69" s="77"/>
      <c r="F69" s="77"/>
    </row>
    <row r="70" spans="1:6" s="72" customFormat="1" ht="13.5">
      <c r="A70" s="88" t="s">
        <v>124</v>
      </c>
      <c r="B70" s="72">
        <f>+B38+B54+B68</f>
        <v>9362343</v>
      </c>
      <c r="C70" s="72">
        <f>+C38+C54+C68</f>
        <v>367439</v>
      </c>
      <c r="D70" s="72">
        <f>+D38+D54+D68</f>
        <v>2188705</v>
      </c>
      <c r="E70" s="72">
        <f>+E38+E54+E68</f>
        <v>1344285</v>
      </c>
      <c r="F70" s="72">
        <f>+F38+F54+F68</f>
        <v>-802672</v>
      </c>
    </row>
    <row r="71" spans="1:6" s="72" customFormat="1" ht="13.5">
      <c r="A71" s="88" t="s">
        <v>65</v>
      </c>
      <c r="B71" s="72">
        <f>671277</f>
        <v>671277</v>
      </c>
      <c r="C71" s="72">
        <f>2299515+74315</f>
        <v>2373830</v>
      </c>
      <c r="D71" s="72">
        <f>2299515+74315</f>
        <v>2373830</v>
      </c>
      <c r="E71" s="72">
        <f>2299515+74315</f>
        <v>2373830</v>
      </c>
      <c r="F71" s="72">
        <f>1524939</f>
        <v>1524939</v>
      </c>
    </row>
    <row r="72" spans="1:6" s="72" customFormat="1" ht="14.25" thickBot="1">
      <c r="A72" s="80" t="s">
        <v>66</v>
      </c>
      <c r="B72" s="95">
        <f>+B70+B71</f>
        <v>10033620</v>
      </c>
      <c r="C72" s="95">
        <f>+C70+C71</f>
        <v>2741269</v>
      </c>
      <c r="D72" s="95">
        <f>+D70+D71</f>
        <v>4562535</v>
      </c>
      <c r="E72" s="95">
        <f>+E70+E71</f>
        <v>3718115</v>
      </c>
      <c r="F72" s="95">
        <f>+F70+F71</f>
        <v>722267</v>
      </c>
    </row>
    <row r="73" s="72" customFormat="1" ht="13.5">
      <c r="A73" s="87"/>
    </row>
    <row r="74" s="72" customFormat="1" ht="13.5">
      <c r="A74" s="96" t="s">
        <v>55</v>
      </c>
    </row>
    <row r="75" s="72" customFormat="1" ht="13.5">
      <c r="A75" s="97"/>
    </row>
    <row r="76" spans="1:6" s="72" customFormat="1" ht="13.5">
      <c r="A76" s="97" t="s">
        <v>56</v>
      </c>
      <c r="B76" s="72">
        <f>823620</f>
        <v>823620</v>
      </c>
      <c r="C76" s="72">
        <v>601753</v>
      </c>
      <c r="D76" s="72">
        <v>972019</v>
      </c>
      <c r="E76" s="72">
        <v>1143800</v>
      </c>
      <c r="F76" s="72">
        <f>222267</f>
        <v>222267</v>
      </c>
    </row>
    <row r="77" spans="1:6" s="72" customFormat="1" ht="13.5">
      <c r="A77" s="97" t="s">
        <v>57</v>
      </c>
      <c r="B77" s="73">
        <f>9210000</f>
        <v>9210000</v>
      </c>
      <c r="C77" s="73">
        <v>504315</v>
      </c>
      <c r="D77" s="73">
        <v>1574315</v>
      </c>
      <c r="E77" s="73">
        <v>1574315</v>
      </c>
      <c r="F77" s="73">
        <v>500000</v>
      </c>
    </row>
    <row r="78" spans="1:6" s="72" customFormat="1" ht="14.25" thickBot="1">
      <c r="A78" s="97" t="s">
        <v>0</v>
      </c>
      <c r="B78" s="95">
        <f>+B76+B77</f>
        <v>10033620</v>
      </c>
      <c r="C78" s="95">
        <f>+C76+C77</f>
        <v>1106068</v>
      </c>
      <c r="D78" s="95">
        <f>+D76+D77</f>
        <v>2546334</v>
      </c>
      <c r="E78" s="95">
        <f>+E76+E77</f>
        <v>2718115</v>
      </c>
      <c r="F78" s="95">
        <f>+F76+F77</f>
        <v>722267</v>
      </c>
    </row>
    <row r="79" s="72" customFormat="1" ht="13.5">
      <c r="A79" s="97"/>
    </row>
    <row r="80" s="72" customFormat="1" ht="12.75"/>
    <row r="81" s="75" customFormat="1" ht="12.75">
      <c r="A81" s="75" t="s">
        <v>85</v>
      </c>
    </row>
    <row r="82" s="75" customFormat="1" ht="12.75">
      <c r="A82" s="75" t="s">
        <v>138</v>
      </c>
    </row>
    <row r="83" s="72" customFormat="1" ht="12.75"/>
    <row r="85" spans="2:6" s="99" customFormat="1" ht="11.25">
      <c r="B85" s="100"/>
      <c r="C85" s="100"/>
      <c r="D85" s="100"/>
      <c r="E85" s="100"/>
      <c r="F85" s="100"/>
    </row>
  </sheetData>
  <printOptions/>
  <pageMargins left="0.75" right="0.5" top="0.75" bottom="0.5" header="0.25" footer="0.25"/>
  <pageSetup fitToHeight="1" fitToWidth="1" horizontalDpi="300" verticalDpi="300" orientation="portrait" paperSize="9" scale="89" r:id="rId1"/>
  <headerFooter alignWithMargins="0">
    <oddFooter>&amp;C&amp;12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75" zoomScaleNormal="75" workbookViewId="0" topLeftCell="A1">
      <selection activeCell="E22" sqref="E22"/>
    </sheetView>
  </sheetViews>
  <sheetFormatPr defaultColWidth="9.140625" defaultRowHeight="12.75"/>
  <cols>
    <col min="1" max="1" width="37.7109375" style="0" customWidth="1"/>
    <col min="2" max="2" width="18.421875" style="45" customWidth="1"/>
    <col min="3" max="3" width="17.7109375" style="45" customWidth="1"/>
    <col min="4" max="4" width="18.421875" style="45" customWidth="1"/>
    <col min="5" max="5" width="19.140625" style="45" customWidth="1"/>
    <col min="6" max="6" width="20.57421875" style="45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46"/>
      <c r="C2" s="46"/>
      <c r="D2" s="46"/>
      <c r="E2" s="46"/>
      <c r="F2" s="46"/>
    </row>
    <row r="3" spans="1:6" ht="15.75" customHeight="1">
      <c r="A3" s="1" t="s">
        <v>129</v>
      </c>
      <c r="B3" s="46"/>
      <c r="C3" s="46"/>
      <c r="D3" s="46"/>
      <c r="E3" s="46"/>
      <c r="F3" s="46"/>
    </row>
    <row r="4" ht="15.75" customHeight="1">
      <c r="F4" s="47" t="s">
        <v>67</v>
      </c>
    </row>
    <row r="5" spans="2:7" s="39" customFormat="1" ht="15.75" customHeight="1">
      <c r="B5" s="47" t="s">
        <v>3</v>
      </c>
      <c r="C5" s="47" t="s">
        <v>4</v>
      </c>
      <c r="D5" s="47" t="s">
        <v>5</v>
      </c>
      <c r="E5" s="47" t="s">
        <v>38</v>
      </c>
      <c r="F5" s="47" t="s">
        <v>68</v>
      </c>
      <c r="G5" s="40"/>
    </row>
    <row r="6" spans="2:7" s="39" customFormat="1" ht="15.75" customHeight="1">
      <c r="B6" s="47" t="s">
        <v>6</v>
      </c>
      <c r="C6" s="47" t="s">
        <v>7</v>
      </c>
      <c r="D6" s="47" t="s">
        <v>8</v>
      </c>
      <c r="E6" s="47" t="s">
        <v>10</v>
      </c>
      <c r="F6" s="47" t="s">
        <v>69</v>
      </c>
      <c r="G6" s="40"/>
    </row>
    <row r="7" spans="1:7" s="39" customFormat="1" ht="15.75" customHeight="1">
      <c r="A7" s="1" t="s">
        <v>0</v>
      </c>
      <c r="B7" s="47" t="s">
        <v>13</v>
      </c>
      <c r="C7" s="47" t="s">
        <v>13</v>
      </c>
      <c r="D7" s="47" t="s">
        <v>9</v>
      </c>
      <c r="E7" s="47" t="s">
        <v>9</v>
      </c>
      <c r="F7" s="47" t="s">
        <v>9</v>
      </c>
      <c r="G7" s="40"/>
    </row>
    <row r="8" s="67" customFormat="1" ht="15.75" customHeight="1">
      <c r="A8" s="66" t="s">
        <v>133</v>
      </c>
    </row>
    <row r="9" s="67" customFormat="1" ht="15.75" customHeight="1"/>
    <row r="10" spans="1:7" s="67" customFormat="1" ht="15.75" customHeight="1">
      <c r="A10" s="67" t="s">
        <v>121</v>
      </c>
      <c r="B10" s="68">
        <v>149804135</v>
      </c>
      <c r="C10" s="69">
        <v>200612049</v>
      </c>
      <c r="D10" s="68">
        <v>56108161</v>
      </c>
      <c r="E10" s="68">
        <v>-318106415</v>
      </c>
      <c r="F10" s="68">
        <f>SUM(B10:E10)</f>
        <v>88417930</v>
      </c>
      <c r="G10" s="68"/>
    </row>
    <row r="11" spans="2:7" s="67" customFormat="1" ht="15.75" customHeight="1">
      <c r="B11" s="68"/>
      <c r="C11" s="68"/>
      <c r="D11" s="68"/>
      <c r="E11" s="68"/>
      <c r="F11" s="68"/>
      <c r="G11" s="68"/>
    </row>
    <row r="12" spans="1:7" s="67" customFormat="1" ht="15.75" customHeight="1">
      <c r="A12" s="67" t="s">
        <v>111</v>
      </c>
      <c r="B12" s="68">
        <v>0</v>
      </c>
      <c r="C12" s="68">
        <v>0</v>
      </c>
      <c r="D12" s="68">
        <v>0</v>
      </c>
      <c r="E12" s="68">
        <f>32623</f>
        <v>32623</v>
      </c>
      <c r="F12" s="68">
        <f>SUM(B12:E12)</f>
        <v>32623</v>
      </c>
      <c r="G12" s="68"/>
    </row>
    <row r="13" spans="1:7" s="67" customFormat="1" ht="15.75" customHeight="1">
      <c r="A13" s="70"/>
      <c r="B13" s="68"/>
      <c r="C13" s="68"/>
      <c r="D13" s="68"/>
      <c r="E13" s="68"/>
      <c r="F13" s="68"/>
      <c r="G13" s="68"/>
    </row>
    <row r="14" spans="1:7" s="67" customFormat="1" ht="15.75" customHeight="1" thickBot="1">
      <c r="A14" s="67" t="s">
        <v>134</v>
      </c>
      <c r="B14" s="71">
        <f>SUM(B10:B13)</f>
        <v>149804135</v>
      </c>
      <c r="C14" s="71">
        <f>SUM(C10:C13)</f>
        <v>200612049</v>
      </c>
      <c r="D14" s="71">
        <f>SUM(D10:D13)</f>
        <v>56108161</v>
      </c>
      <c r="E14" s="71">
        <f>SUM(E10:E13)</f>
        <v>-318073792</v>
      </c>
      <c r="F14" s="71">
        <f>SUM(F10:F13)</f>
        <v>88450553</v>
      </c>
      <c r="G14" s="67" t="s">
        <v>0</v>
      </c>
    </row>
    <row r="15" spans="2:6" s="67" customFormat="1" ht="15.75" customHeight="1">
      <c r="B15" s="68"/>
      <c r="C15" s="68"/>
      <c r="D15" s="68"/>
      <c r="E15" s="68"/>
      <c r="F15" s="68"/>
    </row>
    <row r="16" spans="2:6" s="67" customFormat="1" ht="15.75" customHeight="1">
      <c r="B16" s="68"/>
      <c r="C16" s="68"/>
      <c r="D16" s="68"/>
      <c r="E16" s="68"/>
      <c r="F16" s="68"/>
    </row>
    <row r="17" spans="2:6" s="67" customFormat="1" ht="15.75" customHeight="1">
      <c r="B17" s="68"/>
      <c r="C17" s="68"/>
      <c r="D17" s="68"/>
      <c r="E17" s="68"/>
      <c r="F17" s="68"/>
    </row>
    <row r="18" spans="1:6" s="67" customFormat="1" ht="15.75" customHeight="1">
      <c r="A18" s="66" t="s">
        <v>135</v>
      </c>
      <c r="B18" s="68"/>
      <c r="C18" s="68"/>
      <c r="D18" s="68"/>
      <c r="E18" s="68"/>
      <c r="F18" s="68"/>
    </row>
    <row r="19" spans="2:6" s="67" customFormat="1" ht="15.75" customHeight="1">
      <c r="B19" s="68"/>
      <c r="C19" s="68"/>
      <c r="D19" s="68"/>
      <c r="E19" s="68"/>
      <c r="F19" s="68"/>
    </row>
    <row r="20" spans="1:6" s="67" customFormat="1" ht="15.75" customHeight="1">
      <c r="A20" s="67" t="s">
        <v>136</v>
      </c>
      <c r="B20" s="68">
        <f>149804135</f>
        <v>149804135</v>
      </c>
      <c r="C20" s="69">
        <f>200612049</f>
        <v>200612049</v>
      </c>
      <c r="D20" s="68">
        <v>71296420</v>
      </c>
      <c r="E20" s="68">
        <f>-322086067</f>
        <v>-322086067</v>
      </c>
      <c r="F20" s="68">
        <f>SUM(B20:E20)</f>
        <v>99626537</v>
      </c>
    </row>
    <row r="21" spans="2:6" s="67" customFormat="1" ht="15.75" customHeight="1">
      <c r="B21" s="68"/>
      <c r="C21" s="68"/>
      <c r="D21" s="68"/>
      <c r="E21" s="68"/>
      <c r="F21" s="68"/>
    </row>
    <row r="22" spans="1:6" s="67" customFormat="1" ht="15.75" customHeight="1">
      <c r="A22" s="67" t="s">
        <v>111</v>
      </c>
      <c r="B22" s="67">
        <v>0</v>
      </c>
      <c r="C22" s="67">
        <v>0</v>
      </c>
      <c r="D22" s="67">
        <v>0</v>
      </c>
      <c r="E22" s="67">
        <v>179173</v>
      </c>
      <c r="F22" s="67">
        <f>SUM(B22:E22)</f>
        <v>179173</v>
      </c>
    </row>
    <row r="23" s="67" customFormat="1" ht="15.75" customHeight="1"/>
    <row r="24" spans="1:7" s="67" customFormat="1" ht="15.75" customHeight="1" thickBot="1">
      <c r="A24" s="67" t="s">
        <v>137</v>
      </c>
      <c r="B24" s="71">
        <f>SUM(B19:B23)</f>
        <v>149804135</v>
      </c>
      <c r="C24" s="71">
        <f>SUM(C19:C23)</f>
        <v>200612049</v>
      </c>
      <c r="D24" s="71">
        <f>SUM(D19:D23)</f>
        <v>71296420</v>
      </c>
      <c r="E24" s="71">
        <f>SUM(E19:E23)</f>
        <v>-321906894</v>
      </c>
      <c r="F24" s="71">
        <f>SUM(F19:F23)</f>
        <v>99805710</v>
      </c>
      <c r="G24" s="67" t="s">
        <v>0</v>
      </c>
    </row>
    <row r="25" spans="2:6" s="67" customFormat="1" ht="15.75" customHeight="1">
      <c r="B25" s="68"/>
      <c r="C25" s="68"/>
      <c r="D25" s="68"/>
      <c r="E25" s="68"/>
      <c r="F25" s="68"/>
    </row>
    <row r="26" spans="2:6" s="67" customFormat="1" ht="15.75" customHeight="1">
      <c r="B26" s="68"/>
      <c r="C26" s="68"/>
      <c r="D26" s="68"/>
      <c r="E26" s="68"/>
      <c r="F26" s="68"/>
    </row>
    <row r="27" spans="2:7" s="3" customFormat="1" ht="15.75" customHeight="1">
      <c r="B27" s="48"/>
      <c r="C27" s="48"/>
      <c r="D27" s="48"/>
      <c r="E27" s="48"/>
      <c r="F27" s="48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1" customFormat="1" ht="15.75">
      <c r="A33" s="6" t="s">
        <v>86</v>
      </c>
      <c r="B33" s="49"/>
      <c r="C33" s="49"/>
      <c r="D33" s="49"/>
      <c r="E33" s="49"/>
      <c r="F33" s="49"/>
      <c r="G33" s="50"/>
    </row>
    <row r="34" spans="1:7" s="41" customFormat="1" ht="15.75">
      <c r="A34" s="6" t="s">
        <v>139</v>
      </c>
      <c r="B34" s="49"/>
      <c r="C34" s="49"/>
      <c r="D34" s="49"/>
      <c r="E34" s="49"/>
      <c r="F34" s="49"/>
      <c r="G34" s="50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&amp;C&amp;12 2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60" zoomScaleNormal="75" workbookViewId="0" topLeftCell="A31">
      <selection activeCell="B52" sqref="B52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7109375" style="0" customWidth="1"/>
    <col min="4" max="4" width="1.7109375" style="55" customWidth="1"/>
    <col min="5" max="5" width="22.421875" style="0" customWidth="1"/>
    <col min="6" max="6" width="1.7109375" style="0" customWidth="1"/>
    <col min="7" max="7" width="12.7109375" style="0" bestFit="1" customWidth="1"/>
    <col min="8" max="8" width="15.7109375" style="0" bestFit="1" customWidth="1"/>
    <col min="9" max="9" width="12.57421875" style="0" bestFit="1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56"/>
      <c r="E2" s="7"/>
      <c r="F2" s="8"/>
      <c r="G2" s="8"/>
    </row>
    <row r="3" spans="1:7" ht="15.75">
      <c r="A3" s="6" t="s">
        <v>88</v>
      </c>
      <c r="B3" s="10"/>
      <c r="C3" s="11"/>
      <c r="D3" s="57"/>
      <c r="E3" s="11"/>
      <c r="F3" s="12"/>
      <c r="G3" s="5"/>
    </row>
    <row r="4" spans="1:7" ht="15.75">
      <c r="A4" s="6" t="s">
        <v>158</v>
      </c>
      <c r="B4" s="10"/>
      <c r="C4" s="13"/>
      <c r="D4" s="58"/>
      <c r="E4" s="11"/>
      <c r="F4" s="12"/>
      <c r="G4" s="12"/>
    </row>
    <row r="5" spans="1:7" ht="12.75">
      <c r="A5" s="10"/>
      <c r="B5" s="10"/>
      <c r="C5" s="7" t="s">
        <v>11</v>
      </c>
      <c r="D5" s="56"/>
      <c r="E5" s="7" t="s">
        <v>12</v>
      </c>
      <c r="F5" s="12"/>
      <c r="G5" s="12"/>
    </row>
    <row r="6" spans="1:7" ht="12.75">
      <c r="A6" s="10"/>
      <c r="B6" s="10"/>
      <c r="C6" s="7" t="s">
        <v>89</v>
      </c>
      <c r="D6" s="56"/>
      <c r="E6" s="7" t="s">
        <v>90</v>
      </c>
      <c r="F6" s="12"/>
      <c r="G6" s="12"/>
    </row>
    <row r="7" spans="1:7" ht="12.75">
      <c r="A7" s="10"/>
      <c r="B7" s="10"/>
      <c r="C7" s="7" t="s">
        <v>91</v>
      </c>
      <c r="D7" s="56"/>
      <c r="E7" s="7" t="s">
        <v>93</v>
      </c>
      <c r="F7" s="12"/>
      <c r="G7" s="12"/>
    </row>
    <row r="8" spans="1:7" ht="15.75">
      <c r="A8" s="6" t="s">
        <v>0</v>
      </c>
      <c r="B8" s="10"/>
      <c r="C8" s="11" t="s">
        <v>92</v>
      </c>
      <c r="D8" s="57"/>
      <c r="E8" s="11" t="s">
        <v>94</v>
      </c>
      <c r="F8" s="12"/>
      <c r="G8" s="12"/>
    </row>
    <row r="9" spans="1:7" ht="12.75">
      <c r="A9" s="10"/>
      <c r="B9" s="10"/>
      <c r="C9" s="65">
        <f>+PL!E10</f>
        <v>38625</v>
      </c>
      <c r="D9" s="59"/>
      <c r="E9" s="65">
        <v>38533</v>
      </c>
      <c r="F9" s="14"/>
      <c r="G9" s="14"/>
    </row>
    <row r="10" spans="1:7" ht="12.75">
      <c r="A10" s="10"/>
      <c r="B10" s="10"/>
      <c r="C10" s="11" t="s">
        <v>13</v>
      </c>
      <c r="D10" s="57"/>
      <c r="E10" s="11" t="s">
        <v>13</v>
      </c>
      <c r="F10" s="12"/>
      <c r="G10" s="12"/>
    </row>
    <row r="11" spans="1:7" ht="15">
      <c r="A11" s="33"/>
      <c r="B11" s="33"/>
      <c r="C11" s="26"/>
      <c r="D11" s="60"/>
      <c r="E11" s="26"/>
      <c r="F11" s="5"/>
      <c r="G11" s="5"/>
    </row>
    <row r="12" spans="1:7" ht="15">
      <c r="A12" s="33"/>
      <c r="B12" s="34" t="s">
        <v>14</v>
      </c>
      <c r="C12" s="27">
        <f>164572538</f>
        <v>164572538</v>
      </c>
      <c r="D12" s="61"/>
      <c r="E12" s="27">
        <f>135722993</f>
        <v>135722993</v>
      </c>
      <c r="F12" s="5"/>
      <c r="G12" s="5"/>
    </row>
    <row r="13" spans="1:7" ht="15">
      <c r="A13" s="33"/>
      <c r="B13" s="34" t="s">
        <v>155</v>
      </c>
      <c r="C13" s="27">
        <f>234000000</f>
        <v>234000000</v>
      </c>
      <c r="D13" s="61"/>
      <c r="E13" s="27">
        <v>0</v>
      </c>
      <c r="F13" s="5"/>
      <c r="G13" s="5"/>
    </row>
    <row r="14" spans="1:7" ht="15">
      <c r="A14" s="33"/>
      <c r="B14" s="33" t="s">
        <v>15</v>
      </c>
      <c r="C14" s="27">
        <f>16981883</f>
        <v>16981883</v>
      </c>
      <c r="D14" s="61"/>
      <c r="E14" s="27">
        <v>16810867</v>
      </c>
      <c r="F14" s="5"/>
      <c r="G14" s="5"/>
    </row>
    <row r="15" spans="1:7" ht="15">
      <c r="A15" s="33"/>
      <c r="B15" s="33" t="s">
        <v>16</v>
      </c>
      <c r="C15" s="27"/>
      <c r="D15" s="61"/>
      <c r="E15" s="27"/>
      <c r="F15" s="5"/>
      <c r="G15" s="5"/>
    </row>
    <row r="16" spans="1:7" ht="15">
      <c r="A16" s="33"/>
      <c r="B16" s="33" t="s">
        <v>17</v>
      </c>
      <c r="C16" s="28">
        <v>1</v>
      </c>
      <c r="D16" s="62"/>
      <c r="E16" s="28">
        <v>1</v>
      </c>
      <c r="F16" s="5"/>
      <c r="G16" s="5"/>
    </row>
    <row r="17" spans="1:7" ht="15">
      <c r="A17" s="33"/>
      <c r="B17" s="33" t="s">
        <v>120</v>
      </c>
      <c r="C17" s="28">
        <f>-38419252</f>
        <v>-38419252</v>
      </c>
      <c r="D17" s="62"/>
      <c r="E17" s="28">
        <v>-1177160</v>
      </c>
      <c r="F17" s="5"/>
      <c r="G17" s="5"/>
    </row>
    <row r="18" spans="1:7" ht="15">
      <c r="A18" s="33"/>
      <c r="B18" s="33"/>
      <c r="C18" s="28"/>
      <c r="D18" s="62"/>
      <c r="E18" s="28"/>
      <c r="F18" s="5"/>
      <c r="G18" s="5"/>
    </row>
    <row r="19" spans="1:7" ht="15">
      <c r="A19" s="33"/>
      <c r="B19" s="33" t="s">
        <v>18</v>
      </c>
      <c r="C19" s="27"/>
      <c r="D19" s="61"/>
      <c r="E19" s="27"/>
      <c r="F19" s="5"/>
      <c r="G19" s="5"/>
    </row>
    <row r="20" spans="1:7" ht="15">
      <c r="A20" s="33"/>
      <c r="B20" s="35" t="s">
        <v>19</v>
      </c>
      <c r="C20" s="27">
        <f>727398</f>
        <v>727398</v>
      </c>
      <c r="D20" s="61"/>
      <c r="E20" s="27">
        <v>1234051</v>
      </c>
      <c r="F20" s="5"/>
      <c r="G20" s="5"/>
    </row>
    <row r="21" spans="1:7" ht="15">
      <c r="A21" s="33"/>
      <c r="B21" s="35" t="s">
        <v>20</v>
      </c>
      <c r="C21" s="27">
        <f>901689</f>
        <v>901689</v>
      </c>
      <c r="D21" s="61"/>
      <c r="E21" s="27">
        <v>1069290</v>
      </c>
      <c r="F21" s="5"/>
      <c r="G21" s="5"/>
    </row>
    <row r="22" spans="1:7" ht="15">
      <c r="A22" s="33"/>
      <c r="B22" s="35" t="s">
        <v>21</v>
      </c>
      <c r="C22" s="27">
        <f>2914028</f>
        <v>2914028</v>
      </c>
      <c r="D22" s="61"/>
      <c r="E22" s="27">
        <v>21788485</v>
      </c>
      <c r="F22" s="5" t="s">
        <v>0</v>
      </c>
      <c r="G22" s="5"/>
    </row>
    <row r="23" spans="1:7" ht="15">
      <c r="A23" s="33"/>
      <c r="B23" s="35" t="s">
        <v>37</v>
      </c>
      <c r="C23" s="27">
        <f>823620</f>
        <v>823620</v>
      </c>
      <c r="D23" s="61"/>
      <c r="E23" s="27">
        <v>344277</v>
      </c>
      <c r="F23" s="5"/>
      <c r="G23" s="5"/>
    </row>
    <row r="24" spans="1:7" ht="15">
      <c r="A24" s="33"/>
      <c r="B24" s="35" t="s">
        <v>22</v>
      </c>
      <c r="C24" s="27">
        <f>9190000+20000</f>
        <v>9210000</v>
      </c>
      <c r="D24" s="61"/>
      <c r="E24" s="27">
        <v>327000</v>
      </c>
      <c r="F24" s="5"/>
      <c r="G24" s="5"/>
    </row>
    <row r="25" spans="1:7" ht="15">
      <c r="A25" s="33"/>
      <c r="B25" s="3"/>
      <c r="C25" s="29">
        <f>SUM(C20:C24)</f>
        <v>14576735</v>
      </c>
      <c r="D25" s="62"/>
      <c r="E25" s="29">
        <f>SUM(E20:E24)</f>
        <v>24763103</v>
      </c>
      <c r="F25" s="19" t="s">
        <v>0</v>
      </c>
      <c r="G25" s="20"/>
    </row>
    <row r="26" spans="1:7" ht="15">
      <c r="A26" s="33"/>
      <c r="B26" s="33" t="s">
        <v>23</v>
      </c>
      <c r="C26" s="27" t="s">
        <v>0</v>
      </c>
      <c r="D26" s="61"/>
      <c r="E26" s="27" t="s">
        <v>0</v>
      </c>
      <c r="F26" s="5" t="s">
        <v>0</v>
      </c>
      <c r="G26" s="5"/>
    </row>
    <row r="27" spans="1:7" ht="15">
      <c r="A27" s="33"/>
      <c r="B27" s="35" t="s">
        <v>24</v>
      </c>
      <c r="C27" s="27">
        <f>5466804</f>
        <v>5466804</v>
      </c>
      <c r="D27" s="61"/>
      <c r="E27" s="27">
        <v>23621906</v>
      </c>
      <c r="F27" s="5"/>
      <c r="G27" s="5"/>
    </row>
    <row r="28" spans="1:7" ht="15">
      <c r="A28" s="33"/>
      <c r="B28" s="35" t="s">
        <v>25</v>
      </c>
      <c r="C28" s="27">
        <f>635933</f>
        <v>635933</v>
      </c>
      <c r="D28" s="61"/>
      <c r="E28" s="27">
        <v>2057337</v>
      </c>
      <c r="F28" s="5"/>
      <c r="G28" s="5"/>
    </row>
    <row r="29" spans="1:7" ht="15">
      <c r="A29" s="33"/>
      <c r="B29" s="35" t="s">
        <v>26</v>
      </c>
      <c r="C29" s="27">
        <f>3810328</f>
        <v>3810328</v>
      </c>
      <c r="D29" s="61"/>
      <c r="E29" s="27">
        <v>3891930</v>
      </c>
      <c r="F29" s="5"/>
      <c r="G29" s="5"/>
    </row>
    <row r="30" spans="1:7" ht="15">
      <c r="A30" s="33"/>
      <c r="B30" s="35" t="s">
        <v>27</v>
      </c>
      <c r="C30" s="27">
        <f>5571686</f>
        <v>5571686</v>
      </c>
      <c r="D30" s="61"/>
      <c r="E30" s="27">
        <v>5922509</v>
      </c>
      <c r="F30" s="5"/>
      <c r="G30" s="5"/>
    </row>
    <row r="31" spans="1:7" ht="15">
      <c r="A31" s="33"/>
      <c r="B31" s="36"/>
      <c r="C31" s="27"/>
      <c r="D31" s="61"/>
      <c r="E31" s="27"/>
      <c r="F31" s="5"/>
      <c r="G31" s="5"/>
    </row>
    <row r="32" spans="1:7" ht="15">
      <c r="A32" s="33"/>
      <c r="B32" s="37"/>
      <c r="C32" s="29">
        <f>SUM(C27:C31)</f>
        <v>15484751</v>
      </c>
      <c r="D32" s="62"/>
      <c r="E32" s="29">
        <f>SUM(E27:E31)</f>
        <v>35493682</v>
      </c>
      <c r="F32" s="20"/>
      <c r="G32" s="20"/>
    </row>
    <row r="33" spans="1:7" ht="15">
      <c r="A33" s="33"/>
      <c r="B33" s="33"/>
      <c r="C33" s="27"/>
      <c r="D33" s="61"/>
      <c r="E33" s="27"/>
      <c r="F33" s="5"/>
      <c r="G33" s="5"/>
    </row>
    <row r="34" spans="1:7" ht="15">
      <c r="A34" s="33"/>
      <c r="B34" s="33" t="s">
        <v>28</v>
      </c>
      <c r="C34" s="28">
        <f>+C25-C32</f>
        <v>-908016</v>
      </c>
      <c r="D34" s="62"/>
      <c r="E34" s="28">
        <f>+E25-E32</f>
        <v>-10730579</v>
      </c>
      <c r="F34" s="17"/>
      <c r="G34" s="17"/>
    </row>
    <row r="35" spans="1:7" ht="15">
      <c r="A35" s="33"/>
      <c r="B35" s="33"/>
      <c r="C35" s="30"/>
      <c r="D35" s="62"/>
      <c r="E35" s="30"/>
      <c r="F35" s="5"/>
      <c r="G35" s="5"/>
    </row>
    <row r="36" spans="1:8" s="18" customFormat="1" ht="15">
      <c r="A36" s="33"/>
      <c r="B36" s="33"/>
      <c r="C36" s="29">
        <f>+C12+C14+C15+C16+C34+C17+C13</f>
        <v>376227154</v>
      </c>
      <c r="D36" s="29">
        <f>+D12+D14+D15+D16+D34+D17</f>
        <v>0</v>
      </c>
      <c r="E36" s="29">
        <f>+E12+E14+E15+E16+E34+E17+E13</f>
        <v>140626122</v>
      </c>
      <c r="F36" s="21"/>
      <c r="G36" s="21"/>
      <c r="H36" s="107"/>
    </row>
    <row r="37" spans="1:7" ht="15">
      <c r="A37" s="33"/>
      <c r="B37" s="33" t="s">
        <v>29</v>
      </c>
      <c r="C37" s="27"/>
      <c r="D37" s="61"/>
      <c r="E37" s="27"/>
      <c r="F37" s="5"/>
      <c r="G37" s="5"/>
    </row>
    <row r="38" spans="1:8" ht="15">
      <c r="A38" s="33"/>
      <c r="B38" s="33" t="s">
        <v>30</v>
      </c>
      <c r="C38" s="28">
        <f>149804135</f>
        <v>149804135</v>
      </c>
      <c r="D38" s="62"/>
      <c r="E38" s="28">
        <v>149804135</v>
      </c>
      <c r="F38" s="5"/>
      <c r="G38" s="5"/>
      <c r="H38" s="109"/>
    </row>
    <row r="39" spans="1:7" ht="15">
      <c r="A39" s="33"/>
      <c r="B39" s="33" t="s">
        <v>31</v>
      </c>
      <c r="C39" s="30">
        <f>+C40-C38</f>
        <v>-49998425</v>
      </c>
      <c r="D39" s="62"/>
      <c r="E39" s="30">
        <f>-50177597</f>
        <v>-50177597</v>
      </c>
      <c r="F39" s="5"/>
      <c r="G39" s="5"/>
    </row>
    <row r="40" spans="1:7" ht="15">
      <c r="A40" s="33"/>
      <c r="B40" s="33" t="s">
        <v>32</v>
      </c>
      <c r="C40" s="28">
        <f>+SCE!F24</f>
        <v>99805710</v>
      </c>
      <c r="D40" s="62"/>
      <c r="E40" s="28">
        <f>+E38+E39</f>
        <v>99626538</v>
      </c>
      <c r="F40" s="5"/>
      <c r="G40" s="5"/>
    </row>
    <row r="41" spans="1:9" ht="15">
      <c r="A41" s="33"/>
      <c r="B41" s="33"/>
      <c r="C41" s="28"/>
      <c r="D41" s="62"/>
      <c r="E41" s="28"/>
      <c r="F41" s="5"/>
      <c r="G41" s="5"/>
      <c r="H41" s="108"/>
      <c r="I41" s="108"/>
    </row>
    <row r="42" spans="1:7" ht="15">
      <c r="A42" s="33"/>
      <c r="B42" s="33" t="s">
        <v>33</v>
      </c>
      <c r="C42" s="28">
        <f>95583376</f>
        <v>95583376</v>
      </c>
      <c r="D42" s="62"/>
      <c r="E42" s="28">
        <f>9345620</f>
        <v>9345620</v>
      </c>
      <c r="F42" s="5"/>
      <c r="G42" s="5"/>
    </row>
    <row r="43" spans="1:7" ht="15">
      <c r="A43" s="33"/>
      <c r="B43" s="33" t="s">
        <v>34</v>
      </c>
      <c r="C43" s="28">
        <f>78612969</f>
        <v>78612969</v>
      </c>
      <c r="D43" s="62"/>
      <c r="E43" s="28">
        <v>5673265</v>
      </c>
      <c r="F43" s="5"/>
      <c r="G43" s="5"/>
    </row>
    <row r="44" spans="1:7" ht="15">
      <c r="A44" s="33"/>
      <c r="B44" s="33" t="s">
        <v>35</v>
      </c>
      <c r="C44" s="28">
        <f>102225099</f>
        <v>102225099</v>
      </c>
      <c r="D44" s="62"/>
      <c r="E44" s="28">
        <f>25980699</f>
        <v>25980699</v>
      </c>
      <c r="F44" s="5"/>
      <c r="G44" s="5"/>
    </row>
    <row r="45" spans="1:7" ht="15">
      <c r="A45" s="33"/>
      <c r="B45" s="33"/>
      <c r="C45" s="28"/>
      <c r="D45" s="62"/>
      <c r="E45" s="28"/>
      <c r="F45" s="5"/>
      <c r="G45" s="5"/>
    </row>
    <row r="46" spans="1:7" s="18" customFormat="1" ht="15">
      <c r="A46" s="33"/>
      <c r="B46" s="33"/>
      <c r="C46" s="29">
        <f>SUM(C40:C44)</f>
        <v>376227154</v>
      </c>
      <c r="D46" s="62"/>
      <c r="E46" s="29">
        <f>SUM(E40:E44)</f>
        <v>140626122</v>
      </c>
      <c r="F46" s="21"/>
      <c r="G46" s="21"/>
    </row>
    <row r="47" spans="1:7" ht="15">
      <c r="A47" s="3"/>
      <c r="B47" s="38" t="s">
        <v>0</v>
      </c>
      <c r="C47" s="28" t="s">
        <v>0</v>
      </c>
      <c r="D47" s="62"/>
      <c r="E47" s="28" t="s">
        <v>0</v>
      </c>
      <c r="F47" s="5"/>
      <c r="G47" s="5"/>
    </row>
    <row r="48" spans="1:7" ht="15">
      <c r="A48" s="33"/>
      <c r="B48" s="33" t="s">
        <v>36</v>
      </c>
      <c r="C48" s="31">
        <v>0.92</v>
      </c>
      <c r="D48" s="32"/>
      <c r="E48" s="31">
        <v>0.67</v>
      </c>
      <c r="F48" s="5"/>
      <c r="G48" s="5"/>
    </row>
    <row r="49" spans="1:7" ht="15">
      <c r="A49" s="15"/>
      <c r="B49" s="16"/>
      <c r="C49" s="32" t="s">
        <v>0</v>
      </c>
      <c r="D49" s="32"/>
      <c r="E49" s="32" t="s">
        <v>0</v>
      </c>
      <c r="F49" s="5"/>
      <c r="G49" s="5"/>
    </row>
    <row r="50" spans="1:7" ht="15">
      <c r="A50" s="15"/>
      <c r="B50" s="16"/>
      <c r="C50" s="22" t="s">
        <v>0</v>
      </c>
      <c r="D50" s="22"/>
      <c r="E50" s="22" t="s">
        <v>0</v>
      </c>
      <c r="F50" s="5"/>
      <c r="G50" s="5"/>
    </row>
    <row r="51" spans="1:7" s="41" customFormat="1" ht="15.75">
      <c r="A51" s="51"/>
      <c r="B51" s="6" t="s">
        <v>87</v>
      </c>
      <c r="C51" s="52"/>
      <c r="D51" s="52"/>
      <c r="E51" s="52"/>
      <c r="F51" s="53"/>
      <c r="G51" s="53"/>
    </row>
    <row r="52" spans="1:7" s="41" customFormat="1" ht="15.75">
      <c r="A52" s="51"/>
      <c r="B52" s="6" t="s">
        <v>139</v>
      </c>
      <c r="C52" s="52"/>
      <c r="D52" s="52"/>
      <c r="E52" s="52"/>
      <c r="F52" s="53"/>
      <c r="G52" s="53"/>
    </row>
    <row r="53" spans="1:7" ht="15">
      <c r="A53" s="15"/>
      <c r="B53" s="16"/>
      <c r="C53" s="23"/>
      <c r="D53" s="23"/>
      <c r="E53" s="23"/>
      <c r="F53" s="5"/>
      <c r="G53" s="5"/>
    </row>
    <row r="54" spans="1:5" s="102" customFormat="1" ht="11.25">
      <c r="A54" s="101"/>
      <c r="B54" s="101"/>
      <c r="C54" s="103" t="s">
        <v>0</v>
      </c>
      <c r="D54" s="104"/>
      <c r="E54" s="103" t="s">
        <v>0</v>
      </c>
    </row>
    <row r="55" spans="3:7" ht="15">
      <c r="C55" s="25"/>
      <c r="D55" s="63"/>
      <c r="E55" s="24"/>
      <c r="F55" s="5"/>
      <c r="G55" s="5"/>
    </row>
    <row r="56" spans="3:7" ht="12.75">
      <c r="C56" s="24"/>
      <c r="D56" s="64"/>
      <c r="E56" s="24"/>
      <c r="F56" s="5"/>
      <c r="G56" s="5"/>
    </row>
    <row r="57" spans="3:7" ht="12.75">
      <c r="C57" s="24"/>
      <c r="D57" s="64"/>
      <c r="E57" s="24"/>
      <c r="F57" s="5"/>
      <c r="G57" s="5"/>
    </row>
    <row r="58" spans="3:7" ht="12.75">
      <c r="C58" s="24"/>
      <c r="D58" s="64"/>
      <c r="F58" s="5"/>
      <c r="G58" s="5"/>
    </row>
    <row r="59" spans="3:7" ht="12.75">
      <c r="C59" s="24"/>
      <c r="D59" s="64"/>
      <c r="F59" s="5"/>
      <c r="G59" s="5"/>
    </row>
    <row r="60" spans="3:7" ht="12.75">
      <c r="C60" s="24"/>
      <c r="D60" s="64"/>
      <c r="F60" s="5"/>
      <c r="G60" s="5"/>
    </row>
    <row r="61" spans="3:7" ht="12.75">
      <c r="C61" s="24"/>
      <c r="D61" s="64"/>
      <c r="F61" s="5"/>
      <c r="G61" s="5"/>
    </row>
    <row r="62" spans="3:7" ht="12.75">
      <c r="C62" s="24"/>
      <c r="D62" s="64"/>
      <c r="F62" s="5"/>
      <c r="G62" s="5"/>
    </row>
    <row r="63" spans="3:7" ht="12.75">
      <c r="C63" s="24"/>
      <c r="D63" s="64"/>
      <c r="F63" s="5"/>
      <c r="G63" s="5"/>
    </row>
    <row r="64" spans="3:7" ht="12.75">
      <c r="C64" s="24"/>
      <c r="D64" s="64"/>
      <c r="F64" s="5"/>
      <c r="G64" s="5"/>
    </row>
    <row r="65" spans="3:7" ht="12.75">
      <c r="C65" s="24"/>
      <c r="D65" s="64"/>
      <c r="F65" s="5"/>
      <c r="G65" s="5"/>
    </row>
    <row r="66" spans="3:7" ht="12.75">
      <c r="C66" s="24"/>
      <c r="D66" s="64"/>
      <c r="F66" s="5"/>
      <c r="G66" s="5"/>
    </row>
    <row r="67" spans="3:7" ht="12.75">
      <c r="C67" s="24"/>
      <c r="D67" s="64"/>
      <c r="F67" s="5"/>
      <c r="G67" s="5"/>
    </row>
    <row r="68" spans="3:7" ht="12.75">
      <c r="C68" s="24"/>
      <c r="D68" s="64"/>
      <c r="F68" s="5"/>
      <c r="G68" s="5"/>
    </row>
    <row r="69" spans="3:7" ht="12.75">
      <c r="C69" s="24"/>
      <c r="D69" s="64"/>
      <c r="F69" s="5"/>
      <c r="G69" s="5"/>
    </row>
    <row r="70" spans="3:7" ht="12.75">
      <c r="C70" s="24"/>
      <c r="D70" s="64"/>
      <c r="F70" s="5"/>
      <c r="G70" s="5"/>
    </row>
    <row r="71" spans="3:7" ht="12.75">
      <c r="C71" s="24"/>
      <c r="D71" s="64"/>
      <c r="F71" s="5"/>
      <c r="G71" s="5"/>
    </row>
    <row r="72" spans="3:7" ht="12.75">
      <c r="C72" s="24"/>
      <c r="D72" s="64"/>
      <c r="F72" s="5"/>
      <c r="G72" s="5"/>
    </row>
    <row r="73" spans="3:7" ht="12.75">
      <c r="C73" s="24"/>
      <c r="D73" s="64"/>
      <c r="F73" s="5"/>
      <c r="G73" s="5"/>
    </row>
    <row r="74" spans="3:7" ht="12.75">
      <c r="C74" s="24"/>
      <c r="D74" s="64"/>
      <c r="F74" s="5"/>
      <c r="G74" s="5"/>
    </row>
    <row r="75" spans="3:7" ht="12.75">
      <c r="C75" s="24"/>
      <c r="D75" s="64"/>
      <c r="F75" s="5"/>
      <c r="G75" s="5"/>
    </row>
    <row r="76" spans="3:7" ht="12.75">
      <c r="C76" s="24"/>
      <c r="D76" s="64"/>
      <c r="F76" s="5"/>
      <c r="G76" s="5"/>
    </row>
    <row r="77" spans="3:7" ht="12.75">
      <c r="C77" s="24"/>
      <c r="D77" s="64"/>
      <c r="F77" s="5"/>
      <c r="G77" s="5"/>
    </row>
    <row r="78" spans="3:7" ht="12.75">
      <c r="C78" s="24"/>
      <c r="D78" s="64"/>
      <c r="F78" s="5"/>
      <c r="G78" s="5"/>
    </row>
    <row r="79" spans="3:7" ht="12.75">
      <c r="C79" s="24"/>
      <c r="D79" s="64"/>
      <c r="F79" s="5"/>
      <c r="G79" s="5"/>
    </row>
    <row r="80" spans="3:7" ht="12.75">
      <c r="C80" s="24"/>
      <c r="D80" s="64"/>
      <c r="F80" s="5"/>
      <c r="G80" s="5"/>
    </row>
    <row r="81" spans="3:7" ht="12.75">
      <c r="C81" s="24"/>
      <c r="D81" s="64"/>
      <c r="F81" s="5"/>
      <c r="G81" s="5"/>
    </row>
    <row r="82" spans="3:7" ht="12.75">
      <c r="C82" s="24"/>
      <c r="D82" s="64"/>
      <c r="F82" s="5"/>
      <c r="G82" s="5"/>
    </row>
    <row r="83" spans="3:7" ht="12.75">
      <c r="C83" s="24"/>
      <c r="D83" s="64"/>
      <c r="F83" s="5"/>
      <c r="G83" s="5"/>
    </row>
    <row r="84" spans="3:7" ht="12.75">
      <c r="C84" s="24"/>
      <c r="D84" s="64"/>
      <c r="F84" s="5"/>
      <c r="G84" s="5"/>
    </row>
    <row r="85" spans="3:7" ht="12.75">
      <c r="C85" s="24"/>
      <c r="D85" s="64"/>
      <c r="F85" s="5"/>
      <c r="G85" s="5"/>
    </row>
    <row r="86" spans="3:7" ht="12.75">
      <c r="C86" s="24"/>
      <c r="D86" s="64"/>
      <c r="F86" s="5"/>
      <c r="G86" s="5"/>
    </row>
    <row r="87" spans="3:7" ht="12.75">
      <c r="C87" s="24"/>
      <c r="D87" s="64"/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r4780</cp:lastModifiedBy>
  <cp:lastPrinted>2005-11-24T06:09:31Z</cp:lastPrinted>
  <dcterms:created xsi:type="dcterms:W3CDTF">2002-10-15T23:41:00Z</dcterms:created>
  <dcterms:modified xsi:type="dcterms:W3CDTF">2005-11-24T06:10:10Z</dcterms:modified>
  <cp:category/>
  <cp:version/>
  <cp:contentType/>
  <cp:contentStatus/>
</cp:coreProperties>
</file>