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'BS'!$A$1:$K$61</definedName>
    <definedName name="_xlnm.Print_Area" localSheetId="4">'CF'!$A$1:$J$60</definedName>
    <definedName name="_xlnm.Print_Area" localSheetId="5">'Notes'!$A$1:$P$190</definedName>
    <definedName name="_xlnm.Print_Area" localSheetId="6">'Notes (2)'!$A$1:$L$266</definedName>
    <definedName name="_xlnm.Print_Area" localSheetId="0">'PL'!$A$1:$I$54</definedName>
    <definedName name="_xlnm.Print_Area" localSheetId="3">'SICE'!$A$1:$L$59</definedName>
  </definedNames>
  <calcPr fullCalcOnLoad="1"/>
</workbook>
</file>

<file path=xl/sharedStrings.xml><?xml version="1.0" encoding="utf-8"?>
<sst xmlns="http://schemas.openxmlformats.org/spreadsheetml/2006/main" count="591" uniqueCount="499">
  <si>
    <t>subsidiary company recognised in the first quarter of this financial year.</t>
  </si>
  <si>
    <t>additional draws in the current year under review, strong sales from the Super 6/49 game which recorded its</t>
  </si>
  <si>
    <t>As compared to the preceding quarter ended 31 January 2006, the Group registered an increase in revenue</t>
  </si>
  <si>
    <t>Sports Toto, the principal subsidiary, registered a growth in revenue of 2.0%. However the company recorded</t>
  </si>
  <si>
    <t>to preceding quarter.</t>
  </si>
  <si>
    <t xml:space="preserve">There was no provision of profit forecast in a public document and no provision of profit guarantee by the </t>
  </si>
  <si>
    <t>Group during the year under review.</t>
  </si>
  <si>
    <t>The acquisition and disposal of quoted securities during the financial year ended 30 April 2006 were</t>
  </si>
  <si>
    <t>inter-company balances owing to the Company.</t>
  </si>
  <si>
    <t>exchangeable into ordinary shares of the Company which are held by BLB. BLB has advised that based</t>
  </si>
  <si>
    <t>on its current estimation, approximately RM387 million from the gross proceeds raised pursuant to the</t>
  </si>
  <si>
    <t>proposed Exchangeable Bonds issue will be allocated for the part repayment of the outstanding</t>
  </si>
  <si>
    <t>Short term borrowings :</t>
  </si>
  <si>
    <t>Unsecured</t>
  </si>
  <si>
    <t>Denominated in Ringgit Malaysia</t>
  </si>
  <si>
    <t>Long term borrowings :</t>
  </si>
  <si>
    <t>Based on the number of RM0.50 fully paid ordinary shares in issue and with voting rights as at</t>
  </si>
  <si>
    <t xml:space="preserve">Distribution of dividends </t>
  </si>
  <si>
    <t>3 months ended</t>
  </si>
  <si>
    <t>RM'000</t>
  </si>
  <si>
    <t>REVENUE</t>
  </si>
  <si>
    <t>Finance costs</t>
  </si>
  <si>
    <t>PROFIT BEFORE TAXATION</t>
  </si>
  <si>
    <t>TAXATION</t>
  </si>
  <si>
    <t>PROFIT AFTER TAXATION</t>
  </si>
  <si>
    <t xml:space="preserve"> -Diluted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</si>
  <si>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</si>
  <si>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</si>
  <si>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</si>
  <si>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</si>
  <si>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</si>
  <si>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</si>
  <si>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</si>
  <si>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</si>
  <si>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</si>
  <si>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</si>
  <si>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</si>
  <si>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</si>
  <si>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</si>
  <si>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Group</t>
  </si>
  <si>
    <t>Property, plant and equipment</t>
  </si>
  <si>
    <t>-   Malaysian taxation</t>
  </si>
  <si>
    <t>Page 3</t>
  </si>
  <si>
    <t>Interest income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</si>
  <si>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</si>
  <si>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</si>
  <si>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</si>
  <si>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</si>
  <si>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</si>
  <si>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</si>
  <si>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</si>
  <si>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</si>
  <si>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</si>
  <si>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</si>
  <si>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</si>
  <si>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</si>
  <si>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</si>
  <si>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</si>
  <si>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</si>
  <si>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</si>
  <si>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</si>
  <si>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</si>
  <si>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 xml:space="preserve">    SHAREHOLDERS OF THE COMPANY</t>
  </si>
  <si>
    <t>B4</t>
  </si>
  <si>
    <t>B5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</si>
  <si>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</si>
  <si>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</si>
  <si>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</si>
  <si>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</si>
  <si>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</si>
  <si>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</si>
  <si>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</si>
  <si>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</si>
  <si>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</si>
  <si>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DIVIDEND PER SHARE (SEN)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</si>
  <si>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</si>
  <si>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</si>
  <si>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</si>
  <si>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</si>
  <si>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</si>
  <si>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</si>
  <si>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</si>
  <si>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</si>
  <si>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</si>
  <si>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</si>
  <si>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</si>
  <si>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</si>
  <si>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</si>
  <si>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</si>
  <si>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</si>
  <si>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</si>
  <si>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</si>
  <si>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Table of contents</t>
  </si>
  <si>
    <t>Page</t>
  </si>
  <si>
    <t>CONDENSED CONSOLIDATED CASH FLOW STATEMENT</t>
  </si>
  <si>
    <t>CONDENSED CONSOLIDATED STATEMENT OF CHANGES IN EQUITY</t>
  </si>
  <si>
    <t>Investment properties</t>
  </si>
  <si>
    <t>Investment in associated company</t>
  </si>
  <si>
    <t>RETAINED EARNINGS</t>
  </si>
  <si>
    <t xml:space="preserve">Cash and bank balances 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</si>
  <si>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</si>
  <si>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</si>
  <si>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</si>
  <si>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</si>
  <si>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</si>
  <si>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>Berjaya Sports Toto Berhad</t>
  </si>
  <si>
    <t>(Company no: 9109-K)</t>
  </si>
  <si>
    <t>PROFIT FROM OPERATIONS</t>
  </si>
  <si>
    <t>Long term investments</t>
  </si>
  <si>
    <t>Inventories</t>
  </si>
  <si>
    <t>Deposits with financial institutions</t>
  </si>
  <si>
    <t>SHARE PREMIUM</t>
  </si>
  <si>
    <t>EXCHANGE RESERVE</t>
  </si>
  <si>
    <t>Less : TREASURY SHARES</t>
  </si>
  <si>
    <t>Treasury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</si>
  <si>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</si>
  <si>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</si>
  <si>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</si>
  <si>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</si>
  <si>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</si>
  <si>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</si>
  <si>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</si>
  <si>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</si>
  <si>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</si>
  <si>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</si>
  <si>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</si>
  <si>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</si>
  <si>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</si>
  <si>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-   Foreign countries taxation</t>
  </si>
  <si>
    <t>The particulars of the acquisition and disposal of quoted investments by the Group were as follows :</t>
  </si>
  <si>
    <t xml:space="preserve">On 23 January 2002, Berjaya Land Berhad ("BLB") gave the Company a written undertaking </t>
  </si>
  <si>
    <t>(RM'000)</t>
  </si>
  <si>
    <t xml:space="preserve">Income </t>
  </si>
  <si>
    <t>(sen)</t>
  </si>
  <si>
    <t xml:space="preserve">Earnings per share </t>
  </si>
  <si>
    <t>Basic earnings per share</t>
  </si>
  <si>
    <t xml:space="preserve">Number of shares used in  the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</si>
  <si>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</si>
  <si>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</si>
  <si>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</si>
  <si>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</si>
  <si>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</si>
  <si>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</si>
  <si>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</si>
  <si>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</si>
  <si>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</si>
  <si>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</si>
  <si>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</si>
  <si>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Others</t>
  </si>
  <si>
    <t>Elimination : Intersegment Revenue</t>
  </si>
  <si>
    <t>Group (3-month period)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</si>
  <si>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</si>
  <si>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</si>
  <si>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</si>
  <si>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</si>
  <si>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>Issue of shares</t>
  </si>
  <si>
    <t>Shares buyback</t>
  </si>
  <si>
    <t xml:space="preserve">          PREMIUM OVER ICULS BOUGHT BACK ("PREMIUM")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</si>
  <si>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</si>
  <si>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</si>
  <si>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</si>
  <si>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</si>
  <si>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INVESTING ACTIVITIES</t>
  </si>
  <si>
    <t>Acquisition of property, plant and equipment</t>
  </si>
  <si>
    <t>FINANCING ACTIVITIES</t>
  </si>
  <si>
    <t>Issue of ordinary shares</t>
  </si>
  <si>
    <t>Receipts from customers</t>
  </si>
  <si>
    <t>Disposal of property, plant and equipment</t>
  </si>
  <si>
    <t>Dividends paid</t>
  </si>
  <si>
    <t>ICULS - EQUITY COMPONENT</t>
  </si>
  <si>
    <t xml:space="preserve">           STOCKS 2002 / 2012 ("ICULS") - LIABILITY COMPONENT</t>
  </si>
  <si>
    <t>EQUITY FUNDS</t>
  </si>
  <si>
    <t xml:space="preserve">NET EQUITY FUNDS </t>
  </si>
  <si>
    <t>8% IRREDEEMABLE CONVERTIBLE UNSECURED LOAN</t>
  </si>
  <si>
    <t>CAPITAL FUNDS</t>
  </si>
  <si>
    <t>ICULS interest paid</t>
  </si>
  <si>
    <t>component</t>
  </si>
  <si>
    <t>ICULS-equity</t>
  </si>
  <si>
    <t>ICULS - equity component</t>
  </si>
  <si>
    <t>PROVISIONS</t>
  </si>
  <si>
    <t>The audit report of the Company's most recent annual audited financial statements does not contain any</t>
  </si>
  <si>
    <t>Liability</t>
  </si>
  <si>
    <t>Equity</t>
  </si>
  <si>
    <t>Conversion of ICULS into ordinary shares</t>
  </si>
  <si>
    <t>The status of conditions imposed by the Securities Commission pertaining to the issuance of ICULS</t>
  </si>
  <si>
    <t>Non-current</t>
  </si>
  <si>
    <t xml:space="preserve">    the following balance sheet amounts   :</t>
  </si>
  <si>
    <t>NON-CURRENT ASSETS</t>
  </si>
  <si>
    <t>The net assets per share is calculated based on the following :</t>
  </si>
  <si>
    <t xml:space="preserve">profits / (losses) on sale of properties and there were no profits / (losses) on sale of unquoted investments </t>
  </si>
  <si>
    <t>Reserves</t>
  </si>
  <si>
    <t>Based on the results for the period:-</t>
  </si>
  <si>
    <t>it undertakes to settle the outstanding advances within three years from the date of issue of the ICULS</t>
  </si>
  <si>
    <t xml:space="preserve">("Undertaking Letter") relating to the settlement arrangement for the inter-company advances whereby </t>
  </si>
  <si>
    <t>- First interim</t>
  </si>
  <si>
    <t>Distribution of dividends</t>
  </si>
  <si>
    <t>Investment related income</t>
  </si>
  <si>
    <t>Treasury shares acquired</t>
  </si>
  <si>
    <t>The quarterly financial report is not audited and has been prepared in compliance with MASB 26, Interim</t>
  </si>
  <si>
    <t>The quarterly financial report should be read in conjunction with the audited financial statements of the</t>
  </si>
  <si>
    <t>There were no other unusual items as a result of their nature, size or incidence that had affected assets,</t>
  </si>
  <si>
    <t>DEFERRED TAX LIABILITIES</t>
  </si>
  <si>
    <t>Total quoted long term investments at cost</t>
  </si>
  <si>
    <t>Total quoted long term investments at book value</t>
  </si>
  <si>
    <t>Total quoted long term investments at market value</t>
  </si>
  <si>
    <t>Tax recoverable</t>
  </si>
  <si>
    <t xml:space="preserve">Financial Reporting.  </t>
  </si>
  <si>
    <t>Listing Requirements of Bursa Malaysia Securities Berhad</t>
  </si>
  <si>
    <t xml:space="preserve">Additional Information Required by </t>
  </si>
  <si>
    <t xml:space="preserve">Minority interests  </t>
  </si>
  <si>
    <t>Long term receivable</t>
  </si>
  <si>
    <t>Deferred tax assets</t>
  </si>
  <si>
    <t>Receivables</t>
  </si>
  <si>
    <t>Amount due from affiliated companies</t>
  </si>
  <si>
    <t>Payables</t>
  </si>
  <si>
    <t>Amount due to affiliated companies</t>
  </si>
  <si>
    <t xml:space="preserve">MINORITY INTERESTS </t>
  </si>
  <si>
    <t>At 1 May 2004</t>
  </si>
  <si>
    <t xml:space="preserve">CASH &amp; CASH EQUIVALENTS AT 1 MAY </t>
  </si>
  <si>
    <t xml:space="preserve">Repayment of borrowings </t>
  </si>
  <si>
    <t>financial statements under review.</t>
  </si>
  <si>
    <t>There were no changes in estimates reported in the prior financial year that had a material effect in</t>
  </si>
  <si>
    <t>Notes to the Quarterly Financial Report</t>
  </si>
  <si>
    <t>The annexed notes form an integral part of this quarterly financial report.</t>
  </si>
  <si>
    <t>NOTES TO THE QUARTERLY FINANCIAL REPORT</t>
  </si>
  <si>
    <t>including business combination, acquisition or disposal of subsidiaries and long term investments,</t>
  </si>
  <si>
    <t>ADDITIONAL INFORMATION REQUIRED BY LISTING REQUIREMENTS OF BURSA</t>
  </si>
  <si>
    <t>MALAYSIA SECURITIES BERHAD</t>
  </si>
  <si>
    <t>ICULS bought back by a subsidiary company</t>
  </si>
  <si>
    <t>Acquisition of other investments, including</t>
  </si>
  <si>
    <t>Investment related expenses</t>
  </si>
  <si>
    <t>Share of results of associated company</t>
  </si>
  <si>
    <t>30-4-2005</t>
  </si>
  <si>
    <t>Acquisition of investment in associated company</t>
  </si>
  <si>
    <t>Investment related income</t>
  </si>
  <si>
    <t>Taxation</t>
  </si>
  <si>
    <t>PROFIT ATTRIBUTABLE TO</t>
  </si>
  <si>
    <t>EARNINGS PER SHARE (SEN)</t>
  </si>
  <si>
    <t>At 1 May 2005</t>
  </si>
  <si>
    <t>Net profit for the period</t>
  </si>
  <si>
    <t>shares</t>
  </si>
  <si>
    <t>capital</t>
  </si>
  <si>
    <t>taxes and other operating expenses</t>
  </si>
  <si>
    <t xml:space="preserve">Payments to prize winners, suppliers, duties, </t>
  </si>
  <si>
    <t>Company for the year ended 30 April 2005.</t>
  </si>
  <si>
    <t>statements for the year ended 30 April 2005 have been applied in the preparation of the quarterly</t>
  </si>
  <si>
    <t>June 2005</t>
  </si>
  <si>
    <t>July 2005</t>
  </si>
  <si>
    <t>Balance as at 1 May 2005</t>
  </si>
  <si>
    <t>annual report as no revaluation has been carried out since 30 April 2005.</t>
  </si>
  <si>
    <t>restructuring and discontinuing operations except for the inception of the following companies as at 31 July</t>
  </si>
  <si>
    <t>wholly-owned subsidiary companies of International Lottery &amp; Totalizator Systems, Inc.</t>
  </si>
  <si>
    <t>Pursuant to the resolution included in the Circular to Shareholders dated 5 April 2002, the Company has</t>
  </si>
  <si>
    <t>obtained the necessary approvals for the purchase of ICULS by the Company or any of its wholly-owned</t>
  </si>
  <si>
    <t>subsidiaries up to an amount not exceeding RM1.2 billion.  During the first quarter ended 31 July 2005, a</t>
  </si>
  <si>
    <t>Company's ICULS from the open market. The wholly-owned subsidiary company has then disposed of the</t>
  </si>
  <si>
    <t>via placements on 22 and 25 July 2005 which registered a net gain on disposal of approximately RM24.3</t>
  </si>
  <si>
    <t>million.</t>
  </si>
  <si>
    <t xml:space="preserve">On 10 August 2005, the Board of Directors of the Company announced that the Company has </t>
  </si>
  <si>
    <t>received a letter from BLB requesting the Company for an extension of time by another one year to</t>
  </si>
  <si>
    <t xml:space="preserve">4 August 2006 ("Settlement Period") to settle in full the advances owing to the Company pursuant to </t>
  </si>
  <si>
    <t>the Undertaking Letter.</t>
  </si>
  <si>
    <t>The Board of Directors of the Company was informed of BLB's proposal to dispose of 320 million ordinary</t>
  </si>
  <si>
    <t>shares in the Company ("Disposal Shares") held by BLB and its wholly-owned subsidiaries, namely</t>
  </si>
  <si>
    <t>Gateway Benefit Sdn Bhd, Immediate Capital Sdn Bhd and Berjaya Land Development Sdn Bhd ("Vendor</t>
  </si>
  <si>
    <t>Subsidiaries") to Intan Utilities Berhad, for a total disposal consideration of RM1,152 million (after the</t>
  </si>
  <si>
    <t>A Depositor shall qualify for the entitlement only in respect of :</t>
  </si>
  <si>
    <t>a.</t>
  </si>
  <si>
    <t>in respect of ordinary transfers.</t>
  </si>
  <si>
    <t>b.</t>
  </si>
  <si>
    <t>Shares bought on BMSB on a cum entitlement basis according to the Rules of BMSB.</t>
  </si>
  <si>
    <t>The basic and diluted earnings per share are calculated as follows :</t>
  </si>
  <si>
    <t>Reversal of component in relation to ICULS</t>
  </si>
  <si>
    <t xml:space="preserve">  bought back by a subsidiary upon disposal</t>
  </si>
  <si>
    <t>ICULS bought back by a subsidiary</t>
  </si>
  <si>
    <t>(a)</t>
  </si>
  <si>
    <t>entire RM27,873,100 nominal value of ICULS acquired for a total cash consideration of RM116 million</t>
  </si>
  <si>
    <t xml:space="preserve">    bought back arising from disposal</t>
  </si>
  <si>
    <t xml:space="preserve">     foreign subsidiary companies</t>
  </si>
  <si>
    <t xml:space="preserve">Realisation of premium over ICULS </t>
  </si>
  <si>
    <t>DEFERRED INCOME AND LIABILITIES</t>
  </si>
  <si>
    <t>2005, namely Unisyn Solutions, Inc. and International Totalizator Systems, Inc. both of which are</t>
  </si>
  <si>
    <t>Transfer to deferred tax liability</t>
  </si>
  <si>
    <t>Net proceeds from disposal of ICULS bought back</t>
  </si>
  <si>
    <t xml:space="preserve"> -Basic</t>
  </si>
  <si>
    <t>CONDENSED CONSOLIDATED INCOME STATEMENT</t>
  </si>
  <si>
    <t>Other receipts from investing activities</t>
  </si>
  <si>
    <t>as follows :</t>
  </si>
  <si>
    <t>Disposal of quoted securities</t>
  </si>
  <si>
    <t>Cost of purchase of quoted securities</t>
  </si>
  <si>
    <t>- Second interim</t>
  </si>
  <si>
    <t>RM0.50 capital distribution</t>
  </si>
  <si>
    <t>October 2005</t>
  </si>
  <si>
    <t xml:space="preserve">Current </t>
  </si>
  <si>
    <t>quarter</t>
  </si>
  <si>
    <t>Current</t>
  </si>
  <si>
    <t>LONG TERM BORROWINGS</t>
  </si>
  <si>
    <t>Listing fees</t>
  </si>
  <si>
    <t xml:space="preserve">     resulting from early conversion</t>
  </si>
  <si>
    <t xml:space="preserve">     liability component of ICULS </t>
  </si>
  <si>
    <t>Share of associated company's tax</t>
  </si>
  <si>
    <t xml:space="preserve">Adjustment for the cost from </t>
  </si>
  <si>
    <t xml:space="preserve">     accumulated extinguished </t>
  </si>
  <si>
    <t>Adjustment for the cost from accumulated</t>
  </si>
  <si>
    <t xml:space="preserve">  extinguished liability component of</t>
  </si>
  <si>
    <t xml:space="preserve">  ICULS resulting from early conversion</t>
  </si>
  <si>
    <t xml:space="preserve">  component from other payables</t>
  </si>
  <si>
    <t xml:space="preserve">Reclassified ICULS - liability </t>
  </si>
  <si>
    <t xml:space="preserve">Increase in treasury shares </t>
  </si>
  <si>
    <t>Balance as at 26 September 2005</t>
  </si>
  <si>
    <t>Acquisition of investment properties</t>
  </si>
  <si>
    <t>Drawdown of bank borrowings</t>
  </si>
  <si>
    <t xml:space="preserve">Other receipts </t>
  </si>
  <si>
    <t>Capital distribution</t>
  </si>
  <si>
    <t>There were no contingent liabilities incurred by the Company and Group since the last audited balance sheet</t>
  </si>
  <si>
    <t>date as at 30 April 2005 and up to the date of this announcement except for the corporate guarantee given</t>
  </si>
  <si>
    <t>by the Company to financial institutions for a RM600 million syndicated credit facilities granted to one of its</t>
  </si>
  <si>
    <t>fourth interim dividend on 1 June 2005, in respect of the financial year ended 30 April 2005, of 11 sen</t>
  </si>
  <si>
    <t>per share on 1,133,504,815 ordinary shares with voting rights, less income tax of 28% amounting to</t>
  </si>
  <si>
    <t>RM89,773,582.</t>
  </si>
  <si>
    <t>sen per share on 1,258,728,821 ordinary shares with voting rights, less income tax of 28% amounting to</t>
  </si>
  <si>
    <t>RM113,285,594.</t>
  </si>
  <si>
    <t>12.5 sen per share on 1,256,611,772 ordinary shares with voting rights, less income tax of 28%</t>
  </si>
  <si>
    <t>amounting to RM113,095,059.</t>
  </si>
  <si>
    <t>- Third interim</t>
  </si>
  <si>
    <t>November 2005</t>
  </si>
  <si>
    <t>December 2005</t>
  </si>
  <si>
    <t>January 2006</t>
  </si>
  <si>
    <t>each).</t>
  </si>
  <si>
    <t>and on 16 November 2005, the ICULS was removed from the Official List of Bursa Malaysia Securities</t>
  </si>
  <si>
    <t>Berhad.</t>
  </si>
  <si>
    <t>i)</t>
  </si>
  <si>
    <t>ii)</t>
  </si>
  <si>
    <t>iii)</t>
  </si>
  <si>
    <t>wholly-owned subsidiary of the Company has purchased additional RM1,375,600 nominal value of the</t>
  </si>
  <si>
    <t>There were no other corporate proposals announced but not completed as at the date of this announcement</t>
  </si>
  <si>
    <t>N/A</t>
  </si>
  <si>
    <t>except for on 25 January 2006, the Company announced its proposal to undertake a second capital</t>
  </si>
  <si>
    <t>million upon BLB's repayment of RM34.8 million during the first quarter ended 31 July 2005, RM4.6 million</t>
  </si>
  <si>
    <t>during the second quarter ended 31 October 2005 and an aggregate repayment of RM137.3 million made</t>
  </si>
  <si>
    <t>Subsequent to the completion of the Proposed Disposal, BLB and Vendor Subsidiaries will utilise the net</t>
  </si>
  <si>
    <t>proceeds received from the Proposed Disposal less the amount required for the redemption of the Disposal</t>
  </si>
  <si>
    <t>Shares from their lenders to settle the outstanding inter-company balances that BLB owes to the</t>
  </si>
  <si>
    <t>The Board of Directors of the Company, after taking into consideration the above, has agreed to BLB's</t>
  </si>
  <si>
    <t>proposed extension of the Settlement Period to 4 August 2006.</t>
  </si>
  <si>
    <t>On 25 January 2006, BLB announced that BLB and the Vendor Subsidiaries had agreed to mutually</t>
  </si>
  <si>
    <t>highest ever Jackpot of RM15.9 million in May 2005, traditionally higher Chinese New Year festive sales in the</t>
  </si>
  <si>
    <t>ICULS was removed from the Official List of Bursa Malaysia Securities Berhad.</t>
  </si>
  <si>
    <t>terminate the share sale agreement in relation to its proposed disposal of Disposal Shares to Intan Utilities</t>
  </si>
  <si>
    <t>Berhad.  BLB had on the same date announced that its Board of Directors is proposing an alternative</t>
  </si>
  <si>
    <t>proposal to partially repay the amounts owing to the Company by issuing up to RM900 million nominal</t>
  </si>
  <si>
    <t>value of 5-year secured exchangeable bonds ("Exchangeable Bonds").  The Exchangeable Bonds will be</t>
  </si>
  <si>
    <t>Repayment from affiliated companies</t>
  </si>
  <si>
    <t>1,343,728,821 ordinary shares of RM0.50 each.  The cost of the treasury shares was reduced by the credit</t>
  </si>
  <si>
    <t>Company and in Note B8 of this quarterly financial report.</t>
  </si>
  <si>
    <t>Interest received</t>
  </si>
  <si>
    <t>Net cash generated from investing activities</t>
  </si>
  <si>
    <t>Bank borrowing interest paid</t>
  </si>
  <si>
    <t>Other payment for investing activities</t>
  </si>
  <si>
    <t>on 5 August 2002.</t>
  </si>
  <si>
    <t xml:space="preserve">Company's capital distribution of RM0.50 per share) ("Proposed Disposal"). </t>
  </si>
  <si>
    <t xml:space="preserve">Company. </t>
  </si>
  <si>
    <t>As disclosed in Note A5, the Company's ICULS were fully converted and on 16 November 2005, the</t>
  </si>
  <si>
    <t>UNAUDITED QUARTERLY FINANCIAL REPORT FOR THE YEAR ENDED 30 APRIL 2006</t>
  </si>
  <si>
    <t>12 months ended</t>
  </si>
  <si>
    <t>30-4-2006</t>
  </si>
  <si>
    <t>- Fourth interim</t>
  </si>
  <si>
    <t>(par value per share : as at 30/4/06 - RM0.50, 30/4/05 - RM1.00)</t>
  </si>
  <si>
    <t>At 30 April 2005</t>
  </si>
  <si>
    <t>At 30 April 2006</t>
  </si>
  <si>
    <t>12-month ended</t>
  </si>
  <si>
    <t>CASH &amp; CASH EQUIVALENTS AT 30 APRIL</t>
  </si>
  <si>
    <t>Share issuing expenses</t>
  </si>
  <si>
    <t>the current year.</t>
  </si>
  <si>
    <t>Disposal of treasury shares</t>
  </si>
  <si>
    <t>The number of treasury shares held in hand as at 30 April 2006 are as follows :</t>
  </si>
  <si>
    <t>As at 30 April 2006, the number of outstanding shares in issue and fully paid with voting rights was</t>
  </si>
  <si>
    <t>1,294,730,072 ordinary shares of RM0.50 each (30 April 2005 : 1,133,504,815 ordinary shares of RM1.00</t>
  </si>
  <si>
    <t>During the financial year ended 30 April 2006, the remaining outstanding ICULS were fully converted</t>
  </si>
  <si>
    <t>Balance as at 30 April 2006</t>
  </si>
  <si>
    <t>During the financial year ended 30 April 2006, the Company had paid the following dividends :</t>
  </si>
  <si>
    <t>iv)</t>
  </si>
  <si>
    <t>Segmental revenue and results for the financial year ended 30 April 2006 were as follows :</t>
  </si>
  <si>
    <t>There were no material subsequent events for the financial  year ended 30 April 2006 up to the date of</t>
  </si>
  <si>
    <t>There were no changes in the composition of the Company for the current year ended 30 April 2006</t>
  </si>
  <si>
    <t>The Group's bank borrowings as at 30 April 2006 were as follows :</t>
  </si>
  <si>
    <t xml:space="preserve">The first interim dividend of 12.5 sen per share less 28% income tax was paid on 8 November, the </t>
  </si>
  <si>
    <t xml:space="preserve">second interim dividend of 12.5 sen per share less 28% income tax was paid on 12 January 2006, and </t>
  </si>
  <si>
    <t xml:space="preserve">This will bring the total gross dividend distribution per share in respect of the financial year ended </t>
  </si>
  <si>
    <t>Group (12-month period)</t>
  </si>
  <si>
    <t>Net profit for the year</t>
  </si>
  <si>
    <t>Adjusted net profit for the year</t>
  </si>
  <si>
    <t>Financial year</t>
  </si>
  <si>
    <t>ended 30 April 2006</t>
  </si>
  <si>
    <t>for the financial year ended 30 April 2006.</t>
  </si>
  <si>
    <t>Investments in quoted securities as at 30 April 2006 were as follows :</t>
  </si>
  <si>
    <t>the third interim dividend of 11 sen per share less 28% income tax was paid on 7 April 2006.</t>
  </si>
  <si>
    <t>Total treasury shares as at 30 April 2006</t>
  </si>
  <si>
    <t xml:space="preserve">per share on 1,277,130,072 ordinary shares with voting rights, less income tax of 28% amounting to               </t>
  </si>
  <si>
    <t>RM101,148,702.</t>
  </si>
  <si>
    <t>liabilities, equity, net income or cash flows for the year ended 30 April 2006 except for :</t>
  </si>
  <si>
    <t xml:space="preserve">the net gain of RM24.3 million arising from disposal of the entire investment in ICULS of the </t>
  </si>
  <si>
    <t xml:space="preserve">Company by its wholly-owned subsidiary company as disclosed in Note B8(b) and the realisation of </t>
  </si>
  <si>
    <t>statement of changes in equity ; and</t>
  </si>
  <si>
    <t xml:space="preserve">the net gain of RM10.10 million arising from disposal of 41.0 million treasury shares as disclosed in </t>
  </si>
  <si>
    <t xml:space="preserve">premium over ICULS bought back of RM57.4 million arising from this disposal as shown in the </t>
  </si>
  <si>
    <t>Note A5 and statement of changes in equity.</t>
  </si>
  <si>
    <t xml:space="preserve">In addition, on 26 September 2005, the Company completed its RM0.50 capital distribution ("First Capital </t>
  </si>
  <si>
    <t xml:space="preserve">Distribution") which has resulted in the par value of the issued shares being reduced to RM0.50 per share </t>
  </si>
  <si>
    <t>The cumulative shares bought back are being held as treasury shares with none of the shares being cancelled</t>
  </si>
  <si>
    <t xml:space="preserve">during the fourth quarter ended 30 April 2006. A total of 41,041,600 treasury shares were sold through the </t>
  </si>
  <si>
    <t>third interim dividend on 7 April 2006, in respect of the financial year ended 30 April 2006, of 11 sen</t>
  </si>
  <si>
    <t>As compared to the corresponding quarter ended 30 April 2005, the Group achieved an increase in revenue</t>
  </si>
  <si>
    <t>5 - 8</t>
  </si>
  <si>
    <t>9 - 13</t>
  </si>
  <si>
    <t>Net equity funds less ICULS - equity component divided by the number of outstanding shares in issue with voting rights.</t>
  </si>
  <si>
    <t>NET INCREASE/(DECREASE) IN CASH AND CASH EQUIVALENTS</t>
  </si>
  <si>
    <t>Repayment to affiliated companies</t>
  </si>
  <si>
    <t>For the year ended 30 April 2006, the Group achieved an increase in revenue and pre-tax profit of 10.0%</t>
  </si>
  <si>
    <t xml:space="preserve">as contribution from the 4 Digit I-Perm game which was launched at the end of September 2005. </t>
  </si>
  <si>
    <t>The principal subsidiary, Sports Toto, achieved an increase of 10.0% in revenue mainly attributed to the two</t>
  </si>
  <si>
    <t xml:space="preserve">month of January 2006 and seven months contribution from sales of the 4 Digit I-Perm game which was </t>
  </si>
  <si>
    <t>revenue and an increase of 1.9% in pre-tax profit as compared to the corresponding quarter.  The increase</t>
  </si>
  <si>
    <t>a decrease in pre-tax profit of 2.4% due to higher prize payout in the current quarter under review as compared</t>
  </si>
  <si>
    <t xml:space="preserve">component </t>
  </si>
  <si>
    <t xml:space="preserve">Reduction of treasury shares </t>
  </si>
  <si>
    <t xml:space="preserve">    par value pursuant to the RM0.50 </t>
  </si>
  <si>
    <t>(including 85,000,000 treasury shares of RM1.00 each then) was reduced to RM671,864,410.50 comprising</t>
  </si>
  <si>
    <t xml:space="preserve">capital of the Company of RM1,343,728,821 comprising 1,343,728,821 ordinary shares of RM1.00 each </t>
  </si>
  <si>
    <t>second interim dividend on 12 January 2006, in respect of the financial year ended 30 April 2006, of</t>
  </si>
  <si>
    <t>first interim dividend on 8 November 2005, in respect of the financial year ended 30 April 2006, of 12.5</t>
  </si>
  <si>
    <t>this announcement saved for those disclosed in Note 40(a) of the 2005 audited financial statements of the</t>
  </si>
  <si>
    <t xml:space="preserve">Sports Toto Malaysia Sdn Bhd ("Sports Toto"), the principal subsidiary, posted an increase of 9.3% in </t>
  </si>
  <si>
    <t>in revenue for the current quarter under review was attributed to strong sales of the 4 Digit game as well</t>
  </si>
  <si>
    <t>The lower increase in pre-tax profit was mainly attributed to a higher prize payout in the quarter under review.</t>
  </si>
  <si>
    <t xml:space="preserve">increase in pre-tax profit was mainly attributed to the improved performance of Sports Toto as well as </t>
  </si>
  <si>
    <t xml:space="preserve">gain on disposal of the Company's ICULS that was previously acquired by one of its wholly-owned </t>
  </si>
  <si>
    <t xml:space="preserve">launched at the end of September 2005.  It recorded a lower increase of 9.5% in pre-tax profit compared to </t>
  </si>
  <si>
    <t xml:space="preserve">Barring unforeseen circumstances, the Directors are confident that with the full year contribution from sales </t>
  </si>
  <si>
    <t>performance for the financial year ending 30 April 2007 will be good.</t>
  </si>
  <si>
    <t>of the 4 Digit I-Perm game and the expected increase in sales from its various Digit games, the Group's</t>
  </si>
  <si>
    <t xml:space="preserve">during the third quarter ended 31 January 2006.  </t>
  </si>
  <si>
    <t>Gain on disposal of quoted securities</t>
  </si>
  <si>
    <t>Net proceeds from disposal of treasury shares</t>
  </si>
  <si>
    <t>Short term investments</t>
  </si>
  <si>
    <t>Net assets per share attributable to ordinary equity holders of the parent (RM)</t>
  </si>
  <si>
    <t>Disposal of other investments</t>
  </si>
  <si>
    <t>The effective tax rate on the Group's profit for financial year ended 30 April 2006 was lower</t>
  </si>
  <si>
    <t>than the statutory tax rate mainly due to overprovision of taxation in prior years.</t>
  </si>
  <si>
    <t>Over provision in prior years</t>
  </si>
  <si>
    <t>and pre-tax profit of 9.4% and 14.2% respectively. The higher increase in pre-tax profit was mainly due to</t>
  </si>
  <si>
    <t>and 16.5% respectively as compared to the previous corresponding year ended 30 April 2005. The higher</t>
  </si>
  <si>
    <t>of 2.0% and a decrease in pre-tax profit of 8.5%.</t>
  </si>
  <si>
    <t>As at 30 April 2006, the outstanding inter-company balances owing by BLB group was RM550.310</t>
  </si>
  <si>
    <t>The Board has declared a fourth interim dividend of 15 sen per share (30 April 2005 : 11 sen per share)</t>
  </si>
  <si>
    <t>30 April 2006 is approximately RM139.8 million.  This will bring the total net dividend distribution for the</t>
  </si>
  <si>
    <t xml:space="preserve">wholly-owned subsidiary. During the current quarter under review, the wholly-owned subsidiary repaid </t>
  </si>
  <si>
    <t>RM25 million that reduced the syndicated credit facilities to RM575 million as shown in Note B9.</t>
  </si>
  <si>
    <t xml:space="preserve">30 April 2006 to 51 sen (previous financial year ended 30 April 2005 : 45 sen per share less 28% </t>
  </si>
  <si>
    <t>income tax).</t>
  </si>
  <si>
    <t xml:space="preserve">open market during the fourth quarter ended 30 April 2006 for an aggregate net proceeds of RM183.9 million, </t>
  </si>
  <si>
    <t>resulting in a net gain of RM10.10 million.</t>
  </si>
  <si>
    <t>The First Capital Distribution was effected on 26 September 2005 and consequently, the share</t>
  </si>
  <si>
    <t xml:space="preserve">from the reduction of the par value of the treasury shares pursuant to the First Capital Distribution. </t>
  </si>
  <si>
    <t>Following the First Capital Distribution and pursuant to the Company's ICULS Trust Deed, the</t>
  </si>
  <si>
    <t>conversion price of the outstanding ICULS was accordingly adjusted from RM1.20 to RM1.06.</t>
  </si>
  <si>
    <t>on goodwill of an offshore subsidiary and provision for diminution in value of long term investments made</t>
  </si>
  <si>
    <t>in the corresponding quarter.</t>
  </si>
  <si>
    <t>the lower pre-tax profit recorded in the corresponding quarter ended 30 April 2005 arising from impairment</t>
  </si>
  <si>
    <t>the increase in revenue was mainly due to higher marketing expenses incurred during the year under review.</t>
  </si>
  <si>
    <t xml:space="preserve">Goodwill arising on consolidation </t>
  </si>
  <si>
    <t xml:space="preserve">   before the First Capital Distribution</t>
  </si>
  <si>
    <t xml:space="preserve">    First Capital Distribution</t>
  </si>
  <si>
    <t xml:space="preserve">    after the First Capital Distribution</t>
  </si>
  <si>
    <t>Total quoted short term investments at cost</t>
  </si>
  <si>
    <t>Total quoted short term investments at book value</t>
  </si>
  <si>
    <t>Total quoted short term investments at market value</t>
  </si>
  <si>
    <t>repayment ("Capital Repayment") via cash on the basis of RM0.50 for every one existing ordinary share</t>
  </si>
  <si>
    <t>of RM0.50 each ("Share") held in the Company. The Capital Repayment will be undertaken in accordance</t>
  </si>
  <si>
    <t>with the provisions of Section 60(2) and Section 64 of the Companies Act, 1965 via the reduction of the</t>
  </si>
  <si>
    <t>share capital of the Company by RM0.40 per Share and reduction of the share premium reserve of the</t>
  </si>
  <si>
    <t>Company by RM0.10 per Share.</t>
  </si>
  <si>
    <t xml:space="preserve">On 14 June 2006, the Company announced that it had, on 13 June 2006, obtained an order from the High </t>
  </si>
  <si>
    <t>Court of Malaya, Kuala Lumpur confirming the Capital Repayment, and that the Record of Depositors of</t>
  </si>
  <si>
    <t xml:space="preserve">the Company will be closed at 5:00 p.m. on 5 July 2006 for the purpose of determining the entitlement of </t>
  </si>
  <si>
    <t>shareholders to the Capital Repayment.</t>
  </si>
  <si>
    <t xml:space="preserve">The Company is expected to make the cash distribution of 50 sen per the Company RM0.50 share held </t>
  </si>
  <si>
    <t>Repayment on 14 July 2006.</t>
  </si>
  <si>
    <t xml:space="preserve">(excluding shares which are held as treasury shares) to its entitled shareholders pursuant to the Capital </t>
  </si>
  <si>
    <t>as shown in Note A5, balance sheet and the statement of changes in equity.</t>
  </si>
  <si>
    <t>less 28% income tax in respect of the financial year ended 30 April 2006 and payable on 30 August 2006.</t>
  </si>
  <si>
    <t>The entitlement date has been fixed on 23 August 2006.</t>
  </si>
  <si>
    <t xml:space="preserve">As the ICULS were fully converted on 17 November 2005, there were no new ordinary shares issued </t>
  </si>
  <si>
    <t>during the fourth quarter. For the 12-month ended 30 April 2006, the total new ordinary shares issued</t>
  </si>
  <si>
    <t>as a result of the ICULS conversion were 138,925,257.</t>
  </si>
  <si>
    <t>19 June 2006 of 1.295 billion, the fourth interim net dividend distribution for the financial year ended</t>
  </si>
  <si>
    <t>Shares transferred to the Depositor's Securities Account before 4:00 p.m. on 23 August 2006</t>
  </si>
  <si>
    <r>
      <t xml:space="preserve">financial year ended 30 April 2006 to approximately RM467.4 million </t>
    </r>
    <r>
      <rPr>
        <b/>
        <sz val="11"/>
        <rFont val="Times New Roman"/>
        <family val="1"/>
      </rPr>
      <t xml:space="preserve">representing about 105.5% of </t>
    </r>
  </si>
  <si>
    <r>
      <t>the attributable profit of the Group</t>
    </r>
    <r>
      <rPr>
        <sz val="11"/>
        <rFont val="Times New Roman"/>
        <family val="1"/>
      </rPr>
      <t xml:space="preserve"> for the financial year ended 30 April 2006.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</si>
</sst>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);[Red]\(0.00\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dd\ mmm"/>
    <numFmt numFmtId="176" formatCode="dd/mmm/yyyy"/>
    <numFmt numFmtId="177" formatCode="0.000"/>
    <numFmt numFmtId="178" formatCode="[$-409]dddd\,\ mmmm\ dd\,\ yyyy"/>
    <numFmt numFmtId="179" formatCode="_(* #,##0.0_);_(* \(#,##0.0\);_(* &quot;-&quot;?_);_(@_)"/>
  </numFmts>
  <fonts count="1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48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71" fontId="1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0" borderId="0" xfId="15" applyNumberFormat="1" applyFont="1" applyAlignment="1">
      <alignment horizontal="center"/>
    </xf>
    <xf numFmtId="171" fontId="2" fillId="0" borderId="1" xfId="15" applyNumberFormat="1" applyFont="1" applyBorder="1" applyAlignment="1">
      <alignment vertical="center"/>
    </xf>
    <xf numFmtId="171" fontId="2" fillId="2" borderId="1" xfId="15" applyNumberFormat="1" applyFont="1" applyFill="1" applyBorder="1" applyAlignment="1">
      <alignment vertical="center"/>
    </xf>
    <xf numFmtId="171" fontId="2" fillId="2" borderId="0" xfId="15" applyNumberFormat="1" applyFont="1" applyFill="1" applyAlignment="1">
      <alignment/>
    </xf>
    <xf numFmtId="171" fontId="2" fillId="0" borderId="2" xfId="15" applyNumberFormat="1" applyFont="1" applyBorder="1" applyAlignment="1">
      <alignment/>
    </xf>
    <xf numFmtId="171" fontId="2" fillId="2" borderId="2" xfId="15" applyNumberFormat="1" applyFont="1" applyFill="1" applyBorder="1" applyAlignment="1">
      <alignment/>
    </xf>
    <xf numFmtId="171" fontId="2" fillId="0" borderId="2" xfId="15" applyNumberFormat="1" applyFont="1" applyBorder="1" applyAlignment="1">
      <alignment vertical="top"/>
    </xf>
    <xf numFmtId="171" fontId="2" fillId="2" borderId="2" xfId="15" applyNumberFormat="1" applyFont="1" applyFill="1" applyBorder="1" applyAlignment="1">
      <alignment vertical="top"/>
    </xf>
    <xf numFmtId="171" fontId="2" fillId="0" borderId="1" xfId="15" applyNumberFormat="1" applyFont="1" applyBorder="1" applyAlignment="1">
      <alignment/>
    </xf>
    <xf numFmtId="171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1" fontId="2" fillId="0" borderId="0" xfId="15" applyNumberFormat="1" applyFont="1" applyAlignment="1">
      <alignment horizontal="center" vertical="center"/>
    </xf>
    <xf numFmtId="171" fontId="6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71" fontId="6" fillId="0" borderId="0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/>
    </xf>
    <xf numFmtId="171" fontId="6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71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71" fontId="2" fillId="0" borderId="0" xfId="15" applyNumberFormat="1" applyFont="1" applyBorder="1" applyAlignment="1">
      <alignment horizontal="right"/>
    </xf>
    <xf numFmtId="171" fontId="2" fillId="0" borderId="12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171" fontId="2" fillId="0" borderId="0" xfId="15" applyNumberFormat="1" applyFont="1" applyAlignment="1">
      <alignment horizontal="left" indent="1"/>
    </xf>
    <xf numFmtId="171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71" fontId="2" fillId="0" borderId="0" xfId="15" applyNumberFormat="1" applyFont="1" applyAlignment="1">
      <alignment horizontal="left"/>
    </xf>
    <xf numFmtId="171" fontId="2" fillId="0" borderId="2" xfId="15" applyNumberFormat="1" applyFont="1" applyBorder="1" applyAlignment="1">
      <alignment horizontal="left"/>
    </xf>
    <xf numFmtId="171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71" fontId="2" fillId="0" borderId="2" xfId="15" applyNumberFormat="1" applyFont="1" applyBorder="1" applyAlignment="1">
      <alignment horizontal="right"/>
    </xf>
    <xf numFmtId="171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0" fontId="6" fillId="0" borderId="0" xfId="15" applyNumberFormat="1" applyFont="1" applyAlignment="1">
      <alignment/>
    </xf>
    <xf numFmtId="43" fontId="2" fillId="2" borderId="0" xfId="15" applyNumberFormat="1" applyFont="1" applyFill="1" applyAlignment="1">
      <alignment horizontal="center"/>
    </xf>
    <xf numFmtId="171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6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71" fontId="2" fillId="0" borderId="11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1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6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71" fontId="2" fillId="0" borderId="2" xfId="15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71" fontId="2" fillId="0" borderId="17" xfId="15" applyNumberFormat="1" applyFont="1" applyBorder="1" applyAlignment="1">
      <alignment horizontal="left"/>
    </xf>
    <xf numFmtId="171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71" fontId="2" fillId="0" borderId="3" xfId="15" applyNumberFormat="1" applyFont="1" applyBorder="1" applyAlignment="1">
      <alignment horizontal="center"/>
    </xf>
    <xf numFmtId="171" fontId="2" fillId="0" borderId="8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0" xfId="15" applyNumberFormat="1" applyFont="1" applyFill="1" applyAlignment="1" quotePrefix="1">
      <alignment horizontal="center"/>
    </xf>
    <xf numFmtId="0" fontId="2" fillId="0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171" fontId="2" fillId="0" borderId="2" xfId="15" applyNumberFormat="1" applyFont="1" applyFill="1" applyBorder="1" applyAlignment="1">
      <alignment/>
    </xf>
    <xf numFmtId="171" fontId="2" fillId="0" borderId="0" xfId="15" applyNumberFormat="1" applyFont="1" applyFill="1" applyAlignment="1">
      <alignment/>
    </xf>
    <xf numFmtId="171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1" fontId="2" fillId="0" borderId="13" xfId="15" applyNumberFormat="1" applyFont="1" applyFill="1" applyBorder="1" applyAlignment="1">
      <alignment/>
    </xf>
    <xf numFmtId="41" fontId="11" fillId="0" borderId="0" xfId="0" applyNumberFormat="1" applyFont="1" applyAlignment="1">
      <alignment/>
    </xf>
    <xf numFmtId="171" fontId="11" fillId="0" borderId="0" xfId="15" applyNumberFormat="1" applyFont="1" applyAlignment="1">
      <alignment/>
    </xf>
    <xf numFmtId="171" fontId="2" fillId="0" borderId="0" xfId="15" applyNumberFormat="1" applyFont="1" applyAlignment="1" quotePrefix="1">
      <alignment/>
    </xf>
    <xf numFmtId="171" fontId="2" fillId="0" borderId="0" xfId="15" applyNumberFormat="1" applyFont="1" applyFill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8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1" fontId="2" fillId="0" borderId="0" xfId="15" applyNumberFormat="1" applyFont="1" applyFill="1" applyBorder="1" applyAlignment="1">
      <alignment/>
    </xf>
    <xf numFmtId="171" fontId="2" fillId="0" borderId="2" xfId="15" applyNumberFormat="1" applyFont="1" applyFill="1" applyBorder="1" applyAlignment="1">
      <alignment/>
    </xf>
    <xf numFmtId="0" fontId="2" fillId="0" borderId="0" xfId="15" applyNumberFormat="1" applyFont="1" applyFill="1" applyAlignment="1">
      <alignment horizontal="center"/>
    </xf>
    <xf numFmtId="14" fontId="2" fillId="0" borderId="0" xfId="0" applyNumberFormat="1" applyFont="1" applyAlignment="1" quotePrefix="1">
      <alignment/>
    </xf>
    <xf numFmtId="0" fontId="10" fillId="0" borderId="0" xfId="0" applyFont="1" applyFill="1" applyAlignment="1">
      <alignment/>
    </xf>
    <xf numFmtId="43" fontId="2" fillId="0" borderId="0" xfId="15" applyFont="1" applyAlignment="1">
      <alignment/>
    </xf>
    <xf numFmtId="43" fontId="2" fillId="0" borderId="12" xfId="15" applyFont="1" applyBorder="1" applyAlignment="1">
      <alignment/>
    </xf>
    <xf numFmtId="0" fontId="2" fillId="0" borderId="0" xfId="15" applyNumberFormat="1" applyFont="1" applyFill="1" applyAlignment="1" quotePrefix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71" fontId="2" fillId="0" borderId="13" xfId="15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43" fontId="2" fillId="0" borderId="12" xfId="15" applyNumberFormat="1" applyFont="1" applyFill="1" applyBorder="1" applyAlignment="1">
      <alignment horizontal="left" indent="1"/>
    </xf>
    <xf numFmtId="171" fontId="2" fillId="0" borderId="13" xfId="15" applyNumberFormat="1" applyFont="1" applyFill="1" applyBorder="1" applyAlignment="1">
      <alignment/>
    </xf>
    <xf numFmtId="43" fontId="2" fillId="0" borderId="12" xfId="15" applyNumberFormat="1" applyFont="1" applyFill="1" applyBorder="1" applyAlignment="1">
      <alignment/>
    </xf>
    <xf numFmtId="171" fontId="2" fillId="0" borderId="12" xfId="15" applyNumberFormat="1" applyFont="1" applyFill="1" applyBorder="1" applyAlignment="1">
      <alignment/>
    </xf>
    <xf numFmtId="171" fontId="2" fillId="0" borderId="19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 horizontal="center"/>
    </xf>
    <xf numFmtId="171" fontId="2" fillId="0" borderId="0" xfId="15" applyNumberFormat="1" applyFont="1" applyFill="1" applyAlignment="1">
      <alignment horizontal="center"/>
    </xf>
    <xf numFmtId="171" fontId="2" fillId="0" borderId="12" xfId="15" applyNumberFormat="1" applyFont="1" applyFill="1" applyBorder="1" applyAlignment="1">
      <alignment/>
    </xf>
    <xf numFmtId="0" fontId="5" fillId="0" borderId="0" xfId="15" applyNumberFormat="1" applyFont="1" applyFill="1" applyAlignment="1">
      <alignment/>
    </xf>
    <xf numFmtId="171" fontId="2" fillId="0" borderId="19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1" fontId="2" fillId="0" borderId="12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171" fontId="1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171" fontId="2" fillId="0" borderId="14" xfId="15" applyNumberFormat="1" applyFont="1" applyBorder="1" applyAlignment="1">
      <alignment horizontal="center"/>
    </xf>
    <xf numFmtId="171" fontId="2" fillId="0" borderId="7" xfId="15" applyNumberFormat="1" applyFont="1" applyBorder="1" applyAlignment="1">
      <alignment horizontal="center"/>
    </xf>
    <xf numFmtId="171" fontId="2" fillId="0" borderId="2" xfId="15" applyNumberFormat="1" applyFont="1" applyBorder="1" applyAlignment="1">
      <alignment horizontal="center"/>
    </xf>
    <xf numFmtId="171" fontId="2" fillId="0" borderId="9" xfId="15" applyNumberFormat="1" applyFont="1" applyBorder="1" applyAlignment="1">
      <alignment horizontal="center"/>
    </xf>
    <xf numFmtId="171" fontId="2" fillId="0" borderId="11" xfId="15" applyNumberFormat="1" applyFont="1" applyBorder="1" applyAlignment="1">
      <alignment horizontal="center"/>
    </xf>
    <xf numFmtId="171" fontId="2" fillId="0" borderId="10" xfId="15" applyNumberFormat="1" applyFont="1" applyBorder="1" applyAlignment="1">
      <alignment horizontal="center"/>
    </xf>
    <xf numFmtId="171" fontId="2" fillId="0" borderId="17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3"/>
  <sheetViews>
    <sheetView showGridLines="0" workbookViewId="0" topLeftCell="A19">
      <selection activeCell="F35" sqref="F35"/>
    </sheetView>
  </sheetViews>
  <sheetFormatPr defaultColWidth="9.140625" defaultRowHeight="12.75"/>
  <cols>
    <col min="1" max="1" width="8.421875" style="55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4" ht="10.5" customHeight="1"/>
    <row r="5" ht="15">
      <c r="A5" s="5" t="str">
        <f>Cover!B10</f>
        <v>UNAUDITED QUARTERLY FINANCIAL REPORT FOR THE YEAR ENDED 30 APRIL 2006</v>
      </c>
    </row>
    <row r="6" ht="5.25" customHeight="1">
      <c r="A6" s="5"/>
    </row>
    <row r="7" ht="15">
      <c r="A7" s="53" t="s">
        <v>285</v>
      </c>
    </row>
    <row r="8" ht="5.25" customHeight="1"/>
    <row r="9" spans="5:9" ht="15">
      <c r="E9" s="38"/>
      <c r="F9" s="197" t="s">
        <v>18</v>
      </c>
      <c r="G9" s="197"/>
      <c r="H9" s="197" t="s">
        <v>364</v>
      </c>
      <c r="I9" s="197"/>
    </row>
    <row r="10" spans="5:9" ht="15">
      <c r="E10" s="38"/>
      <c r="F10" s="145" t="s">
        <v>365</v>
      </c>
      <c r="G10" s="145" t="s">
        <v>232</v>
      </c>
      <c r="H10" s="145" t="s">
        <v>365</v>
      </c>
      <c r="I10" s="145" t="s">
        <v>232</v>
      </c>
    </row>
    <row r="11" spans="5:9" ht="15">
      <c r="E11" s="40"/>
      <c r="F11" s="40" t="s">
        <v>19</v>
      </c>
      <c r="G11" s="40" t="s">
        <v>19</v>
      </c>
      <c r="H11" s="40" t="s">
        <v>19</v>
      </c>
      <c r="I11" s="40" t="s">
        <v>19</v>
      </c>
    </row>
    <row r="12" spans="1:9" ht="22.5" customHeight="1" thickBot="1">
      <c r="A12" s="80" t="s">
        <v>20</v>
      </c>
      <c r="B12" s="41"/>
      <c r="C12" s="41"/>
      <c r="D12" s="41"/>
      <c r="E12" s="41"/>
      <c r="F12" s="42">
        <f>+H12-2146718</f>
        <v>791604</v>
      </c>
      <c r="G12" s="41">
        <v>723400</v>
      </c>
      <c r="H12" s="42">
        <v>2938322</v>
      </c>
      <c r="I12" s="41">
        <v>2670206</v>
      </c>
    </row>
    <row r="13" spans="6:8" ht="15">
      <c r="F13" s="43"/>
      <c r="H13" s="43"/>
    </row>
    <row r="14" spans="1:9" ht="15">
      <c r="A14" s="55" t="s">
        <v>107</v>
      </c>
      <c r="F14" s="43">
        <f>+H14-393546</f>
        <v>125088</v>
      </c>
      <c r="G14" s="39">
        <v>128254</v>
      </c>
      <c r="H14" s="43">
        <f>760273-115384-91058+3333-7788-6716-5897-16451+491-2168-1</f>
        <v>518634</v>
      </c>
      <c r="I14" s="39">
        <v>469612</v>
      </c>
    </row>
    <row r="15" spans="6:8" ht="15">
      <c r="F15" s="43"/>
      <c r="H15" s="43"/>
    </row>
    <row r="16" spans="1:9" ht="15">
      <c r="A16" s="55" t="s">
        <v>196</v>
      </c>
      <c r="F16" s="43">
        <f>+H16-60364</f>
        <v>11626</v>
      </c>
      <c r="G16" s="39">
        <v>12507</v>
      </c>
      <c r="H16" s="43">
        <f>24634+47355+1</f>
        <v>71990</v>
      </c>
      <c r="I16" s="39">
        <v>55341</v>
      </c>
    </row>
    <row r="17" spans="1:9" ht="15">
      <c r="A17" s="55" t="s">
        <v>230</v>
      </c>
      <c r="F17" s="43">
        <f>+H17--5689</f>
        <v>945</v>
      </c>
      <c r="G17" s="39">
        <v>-22692</v>
      </c>
      <c r="H17" s="43">
        <f>-491-4685-10-165-2+1531-170-268-484</f>
        <v>-4744</v>
      </c>
      <c r="I17" s="39">
        <v>-25449</v>
      </c>
    </row>
    <row r="18" spans="1:9" ht="15">
      <c r="A18" s="55" t="s">
        <v>21</v>
      </c>
      <c r="F18" s="43">
        <f>+H18--10627</f>
        <v>-7192</v>
      </c>
      <c r="G18" s="39">
        <v>-2503</v>
      </c>
      <c r="H18" s="43">
        <f>-17819</f>
        <v>-17819</v>
      </c>
      <c r="I18" s="39">
        <v>-10271</v>
      </c>
    </row>
    <row r="19" spans="1:9" ht="15">
      <c r="A19" s="55" t="s">
        <v>82</v>
      </c>
      <c r="F19" s="43">
        <f>+H19-30</f>
        <v>0</v>
      </c>
      <c r="G19" s="39">
        <v>-1332</v>
      </c>
      <c r="H19" s="43">
        <v>30</v>
      </c>
      <c r="I19" s="39">
        <v>-1736</v>
      </c>
    </row>
    <row r="20" spans="1:9" ht="9.75" customHeight="1">
      <c r="A20" s="81"/>
      <c r="B20" s="44"/>
      <c r="C20" s="44"/>
      <c r="D20" s="44"/>
      <c r="E20" s="44"/>
      <c r="F20" s="45"/>
      <c r="G20" s="44"/>
      <c r="H20" s="45"/>
      <c r="I20" s="44"/>
    </row>
    <row r="21" spans="1:9" ht="17.25" customHeight="1">
      <c r="A21" s="55" t="s">
        <v>22</v>
      </c>
      <c r="F21" s="43">
        <f>SUM(F14:F20)</f>
        <v>130467</v>
      </c>
      <c r="G21" s="39">
        <f>SUM(G14:G20)</f>
        <v>114234</v>
      </c>
      <c r="H21" s="43">
        <f>SUM(H14:H20)</f>
        <v>568091</v>
      </c>
      <c r="I21" s="39">
        <f>SUM(I14:I20)</f>
        <v>487497</v>
      </c>
    </row>
    <row r="22" spans="6:8" ht="17.25" customHeight="1">
      <c r="F22" s="43"/>
      <c r="H22" s="43"/>
    </row>
    <row r="23" spans="1:9" ht="18.75" customHeight="1">
      <c r="A23" s="82" t="s">
        <v>23</v>
      </c>
      <c r="B23" s="46"/>
      <c r="C23" s="46"/>
      <c r="D23" s="46"/>
      <c r="E23" s="46"/>
      <c r="F23" s="47">
        <f>+H23--129341</f>
        <v>7201</v>
      </c>
      <c r="G23" s="46">
        <v>-34709</v>
      </c>
      <c r="H23" s="47">
        <f>-169538+52698-5300</f>
        <v>-122140</v>
      </c>
      <c r="I23" s="46">
        <v>-158034</v>
      </c>
    </row>
    <row r="24" spans="1:9" ht="20.25" customHeight="1">
      <c r="A24" s="55" t="s">
        <v>24</v>
      </c>
      <c r="F24" s="43">
        <f>SUM(F21:F23)</f>
        <v>137668</v>
      </c>
      <c r="G24" s="39">
        <f>SUM(G21:G23)</f>
        <v>79525</v>
      </c>
      <c r="H24" s="43">
        <f>SUM(H21:H23)</f>
        <v>445951</v>
      </c>
      <c r="I24" s="39">
        <f>SUM(I21:I23)</f>
        <v>329463</v>
      </c>
    </row>
    <row r="25" spans="6:8" ht="16.5" customHeight="1">
      <c r="F25" s="43"/>
      <c r="H25" s="43"/>
    </row>
    <row r="26" spans="1:9" ht="15">
      <c r="A26" s="146" t="s">
        <v>209</v>
      </c>
      <c r="F26" s="43">
        <f>+H26--2147</f>
        <v>-774</v>
      </c>
      <c r="G26" s="39">
        <v>-181</v>
      </c>
      <c r="H26" s="43">
        <v>-2921</v>
      </c>
      <c r="I26" s="39">
        <v>-1307</v>
      </c>
    </row>
    <row r="27" spans="1:9" ht="9.75" customHeight="1">
      <c r="A27" s="81"/>
      <c r="B27" s="44"/>
      <c r="C27" s="44"/>
      <c r="D27" s="44"/>
      <c r="E27" s="44"/>
      <c r="F27" s="45"/>
      <c r="G27" s="44"/>
      <c r="H27" s="45"/>
      <c r="I27" s="44"/>
    </row>
    <row r="28" spans="1:8" ht="21.75" customHeight="1">
      <c r="A28" s="55" t="s">
        <v>236</v>
      </c>
      <c r="F28" s="43"/>
      <c r="H28" s="43"/>
    </row>
    <row r="29" spans="1:9" ht="15">
      <c r="A29" s="55" t="s">
        <v>62</v>
      </c>
      <c r="F29" s="43">
        <f>+F24+F26</f>
        <v>136894</v>
      </c>
      <c r="G29" s="39">
        <f>+G24+G26</f>
        <v>79344</v>
      </c>
      <c r="H29" s="43">
        <f>+H24+H26</f>
        <v>443030</v>
      </c>
      <c r="I29" s="39">
        <f>+I24+I26</f>
        <v>328156</v>
      </c>
    </row>
    <row r="30" spans="1:9" ht="9" customHeight="1" thickBot="1">
      <c r="A30" s="83"/>
      <c r="B30" s="48"/>
      <c r="C30" s="48"/>
      <c r="D30" s="48"/>
      <c r="E30" s="48"/>
      <c r="F30" s="49"/>
      <c r="G30" s="48"/>
      <c r="H30" s="49"/>
      <c r="I30" s="48"/>
    </row>
    <row r="31" spans="6:8" ht="9" customHeight="1">
      <c r="F31" s="43"/>
      <c r="H31" s="43"/>
    </row>
    <row r="32" spans="1:8" ht="15">
      <c r="A32" s="55" t="s">
        <v>237</v>
      </c>
      <c r="F32" s="43"/>
      <c r="H32" s="43"/>
    </row>
    <row r="33" spans="1:11" ht="15.75" customHeight="1">
      <c r="A33" s="55" t="s">
        <v>284</v>
      </c>
      <c r="F33" s="50">
        <f>+'Notes (2)'!I237</f>
        <v>10.741207163734087</v>
      </c>
      <c r="G33" s="51">
        <f>+'Notes (2)'!J237</f>
        <v>7.301149408364337</v>
      </c>
      <c r="H33" s="50">
        <f>+'Notes (2)'!I254</f>
        <v>36.137453322218214</v>
      </c>
      <c r="I33" s="51">
        <f>+'Notes (2)'!J254</f>
        <v>32.57555076640239</v>
      </c>
      <c r="K33" s="149"/>
    </row>
    <row r="34" spans="6:8" ht="8.25" customHeight="1">
      <c r="F34" s="43"/>
      <c r="H34" s="43"/>
    </row>
    <row r="35" spans="1:9" ht="15">
      <c r="A35" s="55" t="s">
        <v>25</v>
      </c>
      <c r="F35" s="105" t="s">
        <v>336</v>
      </c>
      <c r="G35" s="51">
        <f>+'Notes (2)'!J244</f>
        <v>6.709424120064495</v>
      </c>
      <c r="H35" s="105" t="s">
        <v>336</v>
      </c>
      <c r="I35" s="51">
        <f>+'Notes (2)'!J261</f>
        <v>29.660954134936436</v>
      </c>
    </row>
    <row r="36" spans="1:9" ht="9" customHeight="1" thickBot="1">
      <c r="A36" s="83"/>
      <c r="B36" s="48"/>
      <c r="C36" s="48"/>
      <c r="D36" s="48"/>
      <c r="E36" s="48"/>
      <c r="F36" s="49"/>
      <c r="G36" s="48"/>
      <c r="H36" s="49"/>
      <c r="I36" s="48"/>
    </row>
    <row r="37" spans="6:8" ht="9.75" customHeight="1">
      <c r="F37" s="43"/>
      <c r="H37" s="43"/>
    </row>
    <row r="38" spans="1:9" ht="15">
      <c r="A38" s="55" t="s">
        <v>74</v>
      </c>
      <c r="F38" s="50"/>
      <c r="G38" s="51"/>
      <c r="H38" s="50"/>
      <c r="I38" s="51"/>
    </row>
    <row r="39" spans="1:9" ht="15">
      <c r="A39" s="56" t="s">
        <v>194</v>
      </c>
      <c r="F39" s="50">
        <v>0</v>
      </c>
      <c r="G39" s="51">
        <v>0</v>
      </c>
      <c r="H39" s="50">
        <f>12.5*0.72</f>
        <v>9</v>
      </c>
      <c r="I39" s="186">
        <f>10*0.72</f>
        <v>7.199999999999999</v>
      </c>
    </row>
    <row r="40" spans="1:9" ht="15">
      <c r="A40" s="56" t="s">
        <v>290</v>
      </c>
      <c r="F40" s="50">
        <v>0</v>
      </c>
      <c r="G40" s="51">
        <v>0</v>
      </c>
      <c r="H40" s="50">
        <f>12.5*0.72</f>
        <v>9</v>
      </c>
      <c r="I40" s="186">
        <f>8*0.72</f>
        <v>5.76</v>
      </c>
    </row>
    <row r="41" spans="1:9" ht="15">
      <c r="A41" s="56" t="s">
        <v>324</v>
      </c>
      <c r="F41" s="50">
        <v>0</v>
      </c>
      <c r="G41" s="51">
        <v>0</v>
      </c>
      <c r="H41" s="50">
        <f>11*0.72</f>
        <v>7.92</v>
      </c>
      <c r="I41" s="186">
        <f>16*0.72</f>
        <v>11.52</v>
      </c>
    </row>
    <row r="42" spans="1:9" ht="15">
      <c r="A42" s="56" t="s">
        <v>366</v>
      </c>
      <c r="F42" s="50">
        <f>15*0.72</f>
        <v>10.799999999999999</v>
      </c>
      <c r="G42" s="186">
        <f>11*0.72</f>
        <v>7.92</v>
      </c>
      <c r="H42" s="50">
        <f>15*0.72</f>
        <v>10.799999999999999</v>
      </c>
      <c r="I42" s="186">
        <f>11*0.72</f>
        <v>7.92</v>
      </c>
    </row>
    <row r="43" spans="1:9" ht="8.25" customHeight="1" thickBot="1">
      <c r="A43" s="83"/>
      <c r="B43" s="48"/>
      <c r="C43" s="48"/>
      <c r="D43" s="48"/>
      <c r="E43" s="48"/>
      <c r="F43" s="49"/>
      <c r="G43" s="48"/>
      <c r="H43" s="49"/>
      <c r="I43" s="48"/>
    </row>
    <row r="45" spans="6:9" ht="15">
      <c r="F45" s="149"/>
      <c r="I45" s="52"/>
    </row>
    <row r="46" spans="6:9" ht="15">
      <c r="F46" s="149"/>
      <c r="I46" s="52"/>
    </row>
    <row r="47" spans="6:9" ht="15" customHeight="1">
      <c r="F47" s="149"/>
      <c r="I47" s="52"/>
    </row>
    <row r="48" spans="6:9" ht="15" customHeight="1">
      <c r="F48" s="149"/>
      <c r="I48" s="52"/>
    </row>
    <row r="49" spans="6:9" ht="15" customHeight="1">
      <c r="F49" s="149"/>
      <c r="I49" s="52"/>
    </row>
    <row r="50" spans="6:9" ht="15" customHeight="1">
      <c r="F50" s="149"/>
      <c r="I50" s="52"/>
    </row>
    <row r="51" spans="6:9" ht="15" customHeight="1">
      <c r="F51" s="149"/>
      <c r="I51" s="52"/>
    </row>
    <row r="52" spans="6:9" ht="15" customHeight="1">
      <c r="F52" s="149"/>
      <c r="I52" s="52"/>
    </row>
    <row r="53" ht="20.25" customHeight="1">
      <c r="A53" s="84" t="s">
        <v>223</v>
      </c>
    </row>
    <row r="54" ht="6.75" customHeight="1"/>
  </sheetData>
  <mergeCells count="2">
    <mergeCell ref="F9:G9"/>
    <mergeCell ref="H9:I9"/>
  </mergeCells>
  <printOptions/>
  <pageMargins left="0.75" right="0.49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30-4-2006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1" sqref="B21"/>
    </sheetView>
  </sheetViews>
  <sheetFormatPr defaultColWidth="9.140625" defaultRowHeight="12.75"/>
  <cols>
    <col min="1" max="7" width="9.140625" style="2" customWidth="1"/>
    <col min="8" max="8" width="10.8515625" style="2" customWidth="1"/>
    <col min="9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98" t="s">
        <v>105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199" t="s">
        <v>106</v>
      </c>
      <c r="B2" s="199"/>
      <c r="C2" s="199"/>
      <c r="D2" s="199"/>
      <c r="E2" s="199"/>
      <c r="F2" s="199"/>
      <c r="G2" s="199"/>
      <c r="H2" s="199"/>
      <c r="I2" s="199"/>
      <c r="J2" s="199"/>
    </row>
    <row r="10" spans="1:9" ht="27.75" customHeight="1">
      <c r="A10" s="99" t="s">
        <v>84</v>
      </c>
      <c r="B10" s="200" t="s">
        <v>363</v>
      </c>
      <c r="C10" s="200"/>
      <c r="D10" s="200"/>
      <c r="E10" s="200"/>
      <c r="F10" s="200"/>
      <c r="G10" s="200"/>
      <c r="H10" s="98"/>
      <c r="I10" s="98"/>
    </row>
    <row r="12" spans="2:9" ht="15">
      <c r="B12" s="95" t="s">
        <v>92</v>
      </c>
      <c r="I12" s="68" t="s">
        <v>93</v>
      </c>
    </row>
    <row r="13" ht="9" customHeight="1"/>
    <row r="14" spans="2:9" ht="15">
      <c r="B14" s="2" t="s">
        <v>88</v>
      </c>
      <c r="I14" s="68">
        <v>1</v>
      </c>
    </row>
    <row r="15" ht="9" customHeight="1">
      <c r="I15" s="68"/>
    </row>
    <row r="16" spans="2:9" ht="15">
      <c r="B16" s="2" t="s">
        <v>89</v>
      </c>
      <c r="I16" s="68">
        <v>2</v>
      </c>
    </row>
    <row r="17" ht="9" customHeight="1">
      <c r="I17" s="68"/>
    </row>
    <row r="18" spans="2:9" ht="15">
      <c r="B18" s="2" t="s">
        <v>90</v>
      </c>
      <c r="I18" s="68">
        <v>3</v>
      </c>
    </row>
    <row r="19" ht="9" customHeight="1">
      <c r="I19" s="68"/>
    </row>
    <row r="20" spans="2:9" ht="15">
      <c r="B20" s="2" t="s">
        <v>91</v>
      </c>
      <c r="I20" s="68">
        <v>4</v>
      </c>
    </row>
    <row r="21" ht="9" customHeight="1">
      <c r="I21" s="68"/>
    </row>
    <row r="22" spans="2:9" ht="15">
      <c r="B22" s="2" t="s">
        <v>222</v>
      </c>
      <c r="I22" s="96" t="s">
        <v>413</v>
      </c>
    </row>
    <row r="23" ht="9" customHeight="1">
      <c r="I23" s="68"/>
    </row>
    <row r="24" spans="2:10" ht="15">
      <c r="B24" s="2" t="s">
        <v>208</v>
      </c>
      <c r="J24" s="94"/>
    </row>
    <row r="25" spans="3:9" ht="15">
      <c r="C25" s="2" t="s">
        <v>207</v>
      </c>
      <c r="I25" s="97" t="s">
        <v>414</v>
      </c>
    </row>
  </sheetData>
  <mergeCells count="3">
    <mergeCell ref="A1:J1"/>
    <mergeCell ref="A2:J2"/>
    <mergeCell ref="B10:G10"/>
  </mergeCells>
  <printOptions/>
  <pageMargins left="0.79" right="0.3" top="1" bottom="1" header="0.5" footer="0.5"/>
  <pageSetup firstPageNumber="0" useFirstPageNumber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31">
      <selection activeCell="A18" sqref="A18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3.421875" style="2" customWidth="1"/>
    <col min="7" max="7" width="7.57421875" style="2" customWidth="1"/>
    <col min="8" max="8" width="12.7109375" style="28" customWidth="1"/>
    <col min="9" max="9" width="13.57421875" style="3" customWidth="1"/>
    <col min="10" max="10" width="1.1484375" style="4" customWidth="1"/>
    <col min="11" max="11" width="1.1484375" style="2" customWidth="1"/>
    <col min="12" max="16384" width="9.140625" style="2" customWidth="1"/>
  </cols>
  <sheetData>
    <row r="1" ht="9.75" customHeight="1">
      <c r="H1" s="3"/>
    </row>
    <row r="2" ht="18.75" customHeight="1">
      <c r="H2" s="3"/>
    </row>
    <row r="3" ht="3" customHeight="1" hidden="1">
      <c r="H3" s="3"/>
    </row>
    <row r="4" spans="1:8" ht="12.75" customHeight="1">
      <c r="A4" s="5" t="str">
        <f>PL!A5</f>
        <v>UNAUDITED QUARTERLY FINANCIAL REPORT FOR THE YEAR ENDED 30 APRIL 2006</v>
      </c>
      <c r="H4" s="3"/>
    </row>
    <row r="5" spans="1:9" ht="12.75" customHeight="1">
      <c r="A5" s="69" t="s">
        <v>87</v>
      </c>
      <c r="B5" s="6"/>
      <c r="C5" s="6"/>
      <c r="D5" s="6"/>
      <c r="E5" s="6"/>
      <c r="F5" s="6"/>
      <c r="G5" s="6"/>
      <c r="H5" s="7"/>
      <c r="I5" s="7"/>
    </row>
    <row r="6" spans="1:10" ht="14.25" customHeight="1">
      <c r="A6" s="2" t="s">
        <v>26</v>
      </c>
      <c r="G6" s="5"/>
      <c r="H6" s="201" t="s">
        <v>39</v>
      </c>
      <c r="I6" s="201"/>
      <c r="J6" s="8"/>
    </row>
    <row r="7" spans="7:10" ht="13.5" customHeight="1">
      <c r="G7" s="5"/>
      <c r="H7" s="9" t="str">
        <f>+PL!H10</f>
        <v>30-4-2006</v>
      </c>
      <c r="I7" s="9" t="s">
        <v>232</v>
      </c>
      <c r="J7" s="8"/>
    </row>
    <row r="8" spans="1:10" ht="13.5" customHeight="1" thickBot="1">
      <c r="A8" s="10"/>
      <c r="B8" s="10"/>
      <c r="C8" s="10"/>
      <c r="D8" s="10"/>
      <c r="E8" s="10"/>
      <c r="F8" s="10"/>
      <c r="G8" s="1"/>
      <c r="H8" s="11" t="s">
        <v>19</v>
      </c>
      <c r="I8" s="11" t="s">
        <v>19</v>
      </c>
      <c r="J8" s="8"/>
    </row>
    <row r="9" spans="1:10" ht="14.25" customHeight="1">
      <c r="A9" s="8" t="s">
        <v>187</v>
      </c>
      <c r="B9" s="4"/>
      <c r="C9" s="4"/>
      <c r="D9" s="4"/>
      <c r="E9" s="4"/>
      <c r="F9" s="4"/>
      <c r="G9" s="12"/>
      <c r="H9" s="13"/>
      <c r="I9" s="13"/>
      <c r="J9" s="8"/>
    </row>
    <row r="10" spans="1:9" ht="14.25" customHeight="1">
      <c r="A10" s="2" t="s">
        <v>40</v>
      </c>
      <c r="H10" s="14">
        <v>77083</v>
      </c>
      <c r="I10" s="15">
        <v>72777</v>
      </c>
    </row>
    <row r="11" spans="1:9" ht="14.25" customHeight="1">
      <c r="A11" s="2" t="s">
        <v>108</v>
      </c>
      <c r="H11" s="15">
        <v>14622</v>
      </c>
      <c r="I11" s="15">
        <v>23522</v>
      </c>
    </row>
    <row r="12" spans="1:9" ht="14.25" customHeight="1">
      <c r="A12" s="2" t="s">
        <v>96</v>
      </c>
      <c r="H12" s="15">
        <v>48531</v>
      </c>
      <c r="I12" s="15">
        <v>48041</v>
      </c>
    </row>
    <row r="13" spans="1:9" ht="14.25" customHeight="1">
      <c r="A13" s="2" t="s">
        <v>97</v>
      </c>
      <c r="H13" s="15">
        <v>338</v>
      </c>
      <c r="I13" s="15">
        <v>319</v>
      </c>
    </row>
    <row r="14" spans="1:9" ht="14.25" customHeight="1">
      <c r="A14" s="2" t="s">
        <v>210</v>
      </c>
      <c r="H14" s="15">
        <v>0</v>
      </c>
      <c r="I14" s="15">
        <v>3393</v>
      </c>
    </row>
    <row r="15" spans="1:9" ht="14.25" customHeight="1">
      <c r="A15" s="2" t="s">
        <v>211</v>
      </c>
      <c r="H15" s="15">
        <v>419</v>
      </c>
      <c r="I15" s="15">
        <v>407</v>
      </c>
    </row>
    <row r="16" spans="1:9" ht="14.25" customHeight="1">
      <c r="A16" s="4" t="s">
        <v>470</v>
      </c>
      <c r="B16" s="4"/>
      <c r="C16" s="4"/>
      <c r="D16" s="4"/>
      <c r="E16" s="4"/>
      <c r="F16" s="4"/>
      <c r="G16" s="4"/>
      <c r="H16" s="15">
        <v>607785</v>
      </c>
      <c r="I16" s="15">
        <v>609422</v>
      </c>
    </row>
    <row r="17" spans="1:9" ht="1.5" customHeight="1" hidden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27</v>
      </c>
      <c r="H18" s="15"/>
      <c r="I18" s="15"/>
    </row>
    <row r="19" spans="1:10" ht="14.25" customHeight="1">
      <c r="A19" s="2" t="s">
        <v>109</v>
      </c>
      <c r="H19" s="31">
        <v>14202</v>
      </c>
      <c r="I19" s="33">
        <v>14337</v>
      </c>
      <c r="J19" s="17"/>
    </row>
    <row r="20" spans="1:10" ht="14.25" customHeight="1">
      <c r="A20" s="2" t="s">
        <v>212</v>
      </c>
      <c r="H20" s="32">
        <f>43932+45349</f>
        <v>89281</v>
      </c>
      <c r="I20" s="34">
        <v>68357</v>
      </c>
      <c r="J20" s="17"/>
    </row>
    <row r="21" spans="1:10" ht="14.25" customHeight="1">
      <c r="A21" s="2" t="s">
        <v>205</v>
      </c>
      <c r="H21" s="32">
        <f>3703+2531-1000</f>
        <v>5234</v>
      </c>
      <c r="I21" s="34">
        <v>2952</v>
      </c>
      <c r="J21" s="17"/>
    </row>
    <row r="22" spans="1:10" ht="14.25" customHeight="1">
      <c r="A22" s="2" t="s">
        <v>213</v>
      </c>
      <c r="H22" s="32">
        <v>550329</v>
      </c>
      <c r="I22" s="34">
        <v>693114</v>
      </c>
      <c r="J22" s="17"/>
    </row>
    <row r="23" spans="1:10" ht="14.25" customHeight="1">
      <c r="A23" s="2" t="s">
        <v>444</v>
      </c>
      <c r="H23" s="32">
        <v>14685</v>
      </c>
      <c r="I23" s="34">
        <v>0</v>
      </c>
      <c r="J23" s="17"/>
    </row>
    <row r="24" spans="1:10" ht="14.25" customHeight="1">
      <c r="A24" s="2" t="s">
        <v>110</v>
      </c>
      <c r="H24" s="32">
        <v>626099</v>
      </c>
      <c r="I24" s="34">
        <v>323182</v>
      </c>
      <c r="J24" s="17"/>
    </row>
    <row r="25" spans="1:10" ht="14.25" customHeight="1">
      <c r="A25" s="30" t="s">
        <v>28</v>
      </c>
      <c r="B25" s="30"/>
      <c r="C25" s="30"/>
      <c r="D25" s="30"/>
      <c r="E25" s="30"/>
      <c r="F25" s="30"/>
      <c r="G25" s="30"/>
      <c r="H25" s="37">
        <v>31239</v>
      </c>
      <c r="I25" s="35">
        <v>20392</v>
      </c>
      <c r="J25" s="18"/>
    </row>
    <row r="26" spans="1:10" ht="14.25" customHeight="1">
      <c r="A26" s="4"/>
      <c r="B26" s="4"/>
      <c r="C26" s="4"/>
      <c r="D26" s="4"/>
      <c r="E26" s="4"/>
      <c r="F26" s="4"/>
      <c r="G26" s="4"/>
      <c r="H26" s="36">
        <f>SUM(H19:H25)</f>
        <v>1331069</v>
      </c>
      <c r="I26" s="29">
        <f>SUM(I19:I25)</f>
        <v>1122334</v>
      </c>
      <c r="J26" s="17"/>
    </row>
    <row r="27" spans="1:10" ht="14.25" customHeight="1">
      <c r="A27" s="5" t="s">
        <v>29</v>
      </c>
      <c r="H27" s="32"/>
      <c r="I27" s="34"/>
      <c r="J27" s="17"/>
    </row>
    <row r="28" spans="1:10" ht="14.25" customHeight="1">
      <c r="A28" s="2" t="s">
        <v>214</v>
      </c>
      <c r="H28" s="32">
        <v>215954</v>
      </c>
      <c r="I28" s="34">
        <v>194974</v>
      </c>
      <c r="J28" s="17"/>
    </row>
    <row r="29" spans="1:10" ht="14.25" customHeight="1">
      <c r="A29" s="2" t="s">
        <v>215</v>
      </c>
      <c r="H29" s="32">
        <v>344</v>
      </c>
      <c r="I29" s="34">
        <v>1396</v>
      </c>
      <c r="J29" s="17"/>
    </row>
    <row r="30" spans="1:10" ht="14.25" customHeight="1">
      <c r="A30" s="2" t="s">
        <v>30</v>
      </c>
      <c r="H30" s="32">
        <v>102500</v>
      </c>
      <c r="I30" s="34">
        <v>3477</v>
      </c>
      <c r="J30" s="17"/>
    </row>
    <row r="31" spans="1:10" ht="14.25" customHeight="1">
      <c r="A31" s="2" t="s">
        <v>31</v>
      </c>
      <c r="H31" s="32">
        <f>1704+9+7</f>
        <v>1720</v>
      </c>
      <c r="I31" s="34">
        <v>29552</v>
      </c>
      <c r="J31" s="17"/>
    </row>
    <row r="32" spans="1:10" ht="14.25" customHeight="1">
      <c r="A32" s="4"/>
      <c r="B32" s="4"/>
      <c r="C32" s="4"/>
      <c r="D32" s="4"/>
      <c r="E32" s="4"/>
      <c r="F32" s="4"/>
      <c r="G32" s="4"/>
      <c r="H32" s="36">
        <f>SUM(H28:H31)</f>
        <v>320518</v>
      </c>
      <c r="I32" s="29">
        <f>SUM(I28:I31)</f>
        <v>229399</v>
      </c>
      <c r="J32" s="17"/>
    </row>
    <row r="33" spans="1:10" ht="14.25" customHeight="1">
      <c r="A33" s="19" t="s">
        <v>32</v>
      </c>
      <c r="B33" s="20"/>
      <c r="C33" s="20"/>
      <c r="D33" s="20"/>
      <c r="E33" s="20"/>
      <c r="F33" s="20"/>
      <c r="G33" s="20"/>
      <c r="H33" s="21">
        <f>H26-H32</f>
        <v>1010551</v>
      </c>
      <c r="I33" s="21">
        <f>I26-I32</f>
        <v>892935</v>
      </c>
      <c r="J33" s="22"/>
    </row>
    <row r="34" spans="1:10" ht="1.5" customHeight="1" hidden="1">
      <c r="A34" s="19"/>
      <c r="B34" s="20"/>
      <c r="C34" s="20"/>
      <c r="D34" s="20"/>
      <c r="E34" s="20"/>
      <c r="F34" s="20"/>
      <c r="G34" s="20"/>
      <c r="H34" s="21"/>
      <c r="I34" s="21"/>
      <c r="J34" s="22"/>
    </row>
    <row r="35" spans="1:9" ht="14.25" customHeight="1" thickBot="1">
      <c r="A35" s="10"/>
      <c r="B35" s="10"/>
      <c r="C35" s="10"/>
      <c r="D35" s="10"/>
      <c r="E35" s="10"/>
      <c r="F35" s="10"/>
      <c r="G35" s="10"/>
      <c r="H35" s="23">
        <f>SUM(H10:H16)+H33</f>
        <v>1759329</v>
      </c>
      <c r="I35" s="23">
        <f>SUM(I10:I16)+I33</f>
        <v>1650816</v>
      </c>
    </row>
    <row r="36" spans="1:9" ht="15.75" customHeight="1">
      <c r="A36" s="5" t="s">
        <v>33</v>
      </c>
      <c r="H36" s="25"/>
      <c r="I36" s="15"/>
    </row>
    <row r="37" spans="1:9" ht="14.25" customHeight="1">
      <c r="A37" s="2" t="s">
        <v>34</v>
      </c>
      <c r="C37" s="2" t="s">
        <v>367</v>
      </c>
      <c r="H37" s="25">
        <f>+SICE!F33</f>
        <v>675515</v>
      </c>
      <c r="I37" s="15">
        <v>1212105</v>
      </c>
    </row>
    <row r="38" spans="1:9" ht="14.25" customHeight="1">
      <c r="A38" s="2" t="s">
        <v>111</v>
      </c>
      <c r="H38" s="25">
        <v>336904</v>
      </c>
      <c r="I38" s="15">
        <v>296411</v>
      </c>
    </row>
    <row r="39" spans="1:9" ht="14.25" customHeight="1">
      <c r="A39" s="2" t="s">
        <v>112</v>
      </c>
      <c r="H39" s="25">
        <v>13786</v>
      </c>
      <c r="I39" s="15">
        <v>1519</v>
      </c>
    </row>
    <row r="40" spans="1:9" ht="14.25" customHeight="1">
      <c r="A40" s="2" t="s">
        <v>169</v>
      </c>
      <c r="H40" s="15">
        <v>0</v>
      </c>
      <c r="I40" s="15">
        <v>52296</v>
      </c>
    </row>
    <row r="41" spans="1:9" ht="14.25" customHeight="1">
      <c r="A41" s="2" t="s">
        <v>98</v>
      </c>
      <c r="H41" s="16">
        <f>+SICE!K33</f>
        <v>432451</v>
      </c>
      <c r="I41" s="16">
        <v>441939</v>
      </c>
    </row>
    <row r="42" spans="1:9" ht="14.25" customHeight="1">
      <c r="A42" s="2" t="s">
        <v>171</v>
      </c>
      <c r="H42" s="25">
        <f>SUM(H37:H41)</f>
        <v>1458656</v>
      </c>
      <c r="I42" s="25">
        <f>SUM(I37:I41)</f>
        <v>2004270</v>
      </c>
    </row>
    <row r="43" spans="1:9" ht="14.25" customHeight="1">
      <c r="A43" s="2" t="s">
        <v>113</v>
      </c>
      <c r="H43" s="15">
        <f>+SICE!G33</f>
        <v>-238427</v>
      </c>
      <c r="I43" s="15">
        <v>-373568</v>
      </c>
    </row>
    <row r="44" spans="1:9" ht="14.25" customHeight="1">
      <c r="A44" s="2" t="s">
        <v>157</v>
      </c>
      <c r="H44" s="16">
        <v>0</v>
      </c>
      <c r="I44" s="16">
        <v>-57355</v>
      </c>
    </row>
    <row r="45" spans="1:9" ht="14.25" customHeight="1">
      <c r="A45" s="2" t="s">
        <v>172</v>
      </c>
      <c r="H45" s="25">
        <f>SUM(H42:H44)</f>
        <v>1220229</v>
      </c>
      <c r="I45" s="25">
        <f>SUM(I42:I44)</f>
        <v>1573347</v>
      </c>
    </row>
    <row r="46" spans="1:9" ht="14.25" customHeight="1">
      <c r="A46" s="2" t="s">
        <v>216</v>
      </c>
      <c r="H46" s="16">
        <v>10839</v>
      </c>
      <c r="I46" s="16">
        <v>7429</v>
      </c>
    </row>
    <row r="47" spans="1:9" ht="14.25" customHeight="1">
      <c r="A47" s="2" t="s">
        <v>174</v>
      </c>
      <c r="H47" s="25">
        <f>+H45+H46</f>
        <v>1231068</v>
      </c>
      <c r="I47" s="25">
        <f>+I45+I46</f>
        <v>1580776</v>
      </c>
    </row>
    <row r="48" spans="1:9" ht="14.25" customHeight="1">
      <c r="A48" s="2" t="s">
        <v>179</v>
      </c>
      <c r="H48" s="25">
        <v>2313</v>
      </c>
      <c r="I48" s="25">
        <v>2223</v>
      </c>
    </row>
    <row r="49" spans="1:9" ht="14.25" customHeight="1">
      <c r="A49" s="2" t="s">
        <v>296</v>
      </c>
      <c r="H49" s="25">
        <v>472500</v>
      </c>
      <c r="I49" s="25">
        <v>0</v>
      </c>
    </row>
    <row r="50" spans="1:9" ht="14.25" customHeight="1">
      <c r="A50" s="2" t="s">
        <v>201</v>
      </c>
      <c r="H50" s="15">
        <f>18616</f>
        <v>18616</v>
      </c>
      <c r="I50" s="25">
        <v>17059</v>
      </c>
    </row>
    <row r="51" spans="1:9" ht="14.25" customHeight="1">
      <c r="A51" s="2" t="s">
        <v>280</v>
      </c>
      <c r="H51" s="25">
        <v>34832</v>
      </c>
      <c r="I51" s="15">
        <v>32364</v>
      </c>
    </row>
    <row r="52" spans="1:9" ht="14.25" customHeight="1">
      <c r="A52" s="2" t="s">
        <v>173</v>
      </c>
      <c r="H52" s="2"/>
      <c r="I52" s="2"/>
    </row>
    <row r="53" spans="1:9" ht="14.25" customHeight="1">
      <c r="A53" s="2" t="s">
        <v>170</v>
      </c>
      <c r="H53" s="25">
        <v>0</v>
      </c>
      <c r="I53" s="25">
        <v>18394</v>
      </c>
    </row>
    <row r="54" spans="1:13" ht="14.25" customHeight="1" thickBot="1">
      <c r="A54" s="26"/>
      <c r="B54" s="26"/>
      <c r="C54" s="26"/>
      <c r="D54" s="26"/>
      <c r="E54" s="26"/>
      <c r="F54" s="26"/>
      <c r="G54" s="26"/>
      <c r="H54" s="24">
        <f>SUM(H47:H53)</f>
        <v>1759329</v>
      </c>
      <c r="I54" s="24">
        <f>SUM(I47:I53)</f>
        <v>1650816</v>
      </c>
      <c r="L54" s="158">
        <f>ROUND(+H54-H35,0)</f>
        <v>0</v>
      </c>
      <c r="M54" s="157">
        <f>+I54-I35</f>
        <v>0</v>
      </c>
    </row>
    <row r="55" spans="1:9" ht="19.5" customHeight="1">
      <c r="A55" s="2" t="s">
        <v>445</v>
      </c>
      <c r="H55" s="101">
        <f>(H45-H40)/((H37/0.5)-56300)</f>
        <v>0.942458273153476</v>
      </c>
      <c r="I55" s="101">
        <f>(I45-I40)/($I$37-78600)</f>
        <v>1.3419005650614686</v>
      </c>
    </row>
    <row r="56" spans="8:9" ht="2.25" customHeight="1">
      <c r="H56" s="101"/>
      <c r="I56" s="136"/>
    </row>
    <row r="57" spans="8:9" ht="4.5" customHeight="1">
      <c r="H57" s="101"/>
      <c r="I57" s="136"/>
    </row>
    <row r="58" spans="1:9" ht="14.25" customHeight="1">
      <c r="A58" s="2" t="s">
        <v>188</v>
      </c>
      <c r="H58" s="101"/>
      <c r="I58" s="136"/>
    </row>
    <row r="59" spans="1:9" ht="14.25" customHeight="1">
      <c r="A59" s="177" t="s">
        <v>415</v>
      </c>
      <c r="H59" s="101"/>
      <c r="I59" s="136"/>
    </row>
    <row r="60" spans="8:9" ht="9" customHeight="1">
      <c r="H60" s="101"/>
      <c r="I60" s="136"/>
    </row>
    <row r="61" spans="1:9" ht="13.5" customHeight="1">
      <c r="A61" s="5" t="s">
        <v>223</v>
      </c>
      <c r="H61" s="25"/>
      <c r="I61" s="15"/>
    </row>
    <row r="62" spans="8:9" ht="15">
      <c r="H62" s="103">
        <f>ROUND(+H54-H35,0)</f>
        <v>0</v>
      </c>
      <c r="I62" s="103">
        <f>+I54-I35</f>
        <v>0</v>
      </c>
    </row>
  </sheetData>
  <mergeCells count="1">
    <mergeCell ref="H6:I6"/>
  </mergeCells>
  <printOptions/>
  <pageMargins left="0.62" right="0.21" top="0.64" bottom="0" header="0.31" footer="0.5"/>
  <pageSetup horizontalDpi="600" verticalDpi="600" orientation="portrait" paperSize="9" scale="92" r:id="rId1"/>
  <headerFooter alignWithMargins="0">
    <oddHeader>&amp;R&amp;"Arial,Bold"Berjaya Sports Toto Berhad&amp;U
&amp;9&amp;U(&amp;"Arial,Regular"Company No. 9109-K)
Quarterly Report 30-4-2006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N91"/>
  <sheetViews>
    <sheetView showGridLines="0" workbookViewId="0" topLeftCell="A1">
      <selection activeCell="K31" sqref="K31"/>
    </sheetView>
  </sheetViews>
  <sheetFormatPr defaultColWidth="9.140625" defaultRowHeight="12.75"/>
  <cols>
    <col min="1" max="1" width="7.140625" style="2" customWidth="1"/>
    <col min="2" max="3" width="7.8515625" style="2" customWidth="1"/>
    <col min="4" max="4" width="6.421875" style="2" customWidth="1"/>
    <col min="5" max="5" width="2.7109375" style="2" customWidth="1"/>
    <col min="6" max="6" width="10.140625" style="2" customWidth="1"/>
    <col min="7" max="7" width="9.8515625" style="27" customWidth="1"/>
    <col min="8" max="8" width="13.00390625" style="27" customWidth="1"/>
    <col min="9" max="9" width="10.8515625" style="2" customWidth="1"/>
    <col min="10" max="10" width="1.1484375" style="2" customWidth="1"/>
    <col min="11" max="11" width="10.8515625" style="2" customWidth="1"/>
    <col min="12" max="12" width="10.140625" style="2" customWidth="1"/>
    <col min="13" max="16384" width="9.140625" style="2" customWidth="1"/>
  </cols>
  <sheetData>
    <row r="3" ht="3.75" customHeight="1"/>
    <row r="4" ht="6" customHeight="1"/>
    <row r="5" ht="15">
      <c r="A5" s="5" t="str">
        <f>PL!A5</f>
        <v>UNAUDITED QUARTERLY FINANCIAL REPORT FOR THE YEAR ENDED 30 APRIL 2006</v>
      </c>
    </row>
    <row r="6" ht="5.25" customHeight="1"/>
    <row r="7" ht="15">
      <c r="A7" s="5" t="s">
        <v>95</v>
      </c>
    </row>
    <row r="8" ht="15">
      <c r="A8" s="5"/>
    </row>
    <row r="9" ht="15">
      <c r="A9" s="5"/>
    </row>
    <row r="10" spans="1:11" ht="15">
      <c r="A10" s="5"/>
      <c r="G10" s="94"/>
      <c r="H10" s="2"/>
      <c r="I10" s="204" t="s">
        <v>190</v>
      </c>
      <c r="J10" s="204"/>
      <c r="K10" s="204"/>
    </row>
    <row r="11" spans="6:12" ht="15">
      <c r="F11" s="92" t="s">
        <v>83</v>
      </c>
      <c r="G11" s="92" t="s">
        <v>114</v>
      </c>
      <c r="H11" s="137" t="s">
        <v>177</v>
      </c>
      <c r="I11" s="92" t="s">
        <v>35</v>
      </c>
      <c r="J11" s="92"/>
      <c r="K11" s="93"/>
      <c r="L11" s="92"/>
    </row>
    <row r="12" spans="6:12" ht="15">
      <c r="F12" s="92" t="s">
        <v>241</v>
      </c>
      <c r="G12" s="92" t="s">
        <v>240</v>
      </c>
      <c r="H12" s="137" t="s">
        <v>176</v>
      </c>
      <c r="I12" s="92" t="s">
        <v>38</v>
      </c>
      <c r="J12" s="92"/>
      <c r="K12" s="92" t="s">
        <v>36</v>
      </c>
      <c r="L12" s="92" t="s">
        <v>37</v>
      </c>
    </row>
    <row r="13" spans="6:12" ht="15">
      <c r="F13" s="92" t="s">
        <v>19</v>
      </c>
      <c r="G13" s="92" t="s">
        <v>19</v>
      </c>
      <c r="H13" s="92" t="s">
        <v>19</v>
      </c>
      <c r="I13" s="92" t="s">
        <v>19</v>
      </c>
      <c r="J13" s="92"/>
      <c r="K13" s="92" t="s">
        <v>19</v>
      </c>
      <c r="L13" s="92" t="s">
        <v>19</v>
      </c>
    </row>
    <row r="14" spans="1:6" ht="15">
      <c r="A14" s="153"/>
      <c r="F14" s="27"/>
    </row>
    <row r="15" spans="1:12" ht="15">
      <c r="A15" s="147" t="s">
        <v>238</v>
      </c>
      <c r="B15" s="124"/>
      <c r="C15" s="124"/>
      <c r="F15" s="75">
        <v>1212105</v>
      </c>
      <c r="G15" s="75">
        <v>-373568</v>
      </c>
      <c r="H15" s="75">
        <v>52296</v>
      </c>
      <c r="I15" s="75">
        <f>296411+1519-57355</f>
        <v>240575</v>
      </c>
      <c r="J15" s="140"/>
      <c r="K15" s="75">
        <v>441939</v>
      </c>
      <c r="L15" s="75">
        <f>SUM(F15:K15)</f>
        <v>1573347</v>
      </c>
    </row>
    <row r="16" spans="1:12" ht="15">
      <c r="A16" s="127" t="s">
        <v>155</v>
      </c>
      <c r="B16" s="124"/>
      <c r="C16" s="124"/>
      <c r="F16" s="149">
        <f>ROUND(130675+(727*0.5)+(1138/1.2)+(12/1.06*0.5),0)+1+(1707*0.5)+4855*0.5</f>
        <v>135274</v>
      </c>
      <c r="G16" s="73">
        <v>0</v>
      </c>
      <c r="H16" s="52">
        <v>0</v>
      </c>
      <c r="I16" s="154">
        <f>(130675*0.2)+(-(1138/1.2)+1138)+(727*0.56)+((-(12/1.06)+12)+(12/1.06)*0.5)+((1707+4855)*0.56)+1</f>
        <v>30413.846289308178</v>
      </c>
      <c r="J16" s="65"/>
      <c r="K16" s="39">
        <v>0</v>
      </c>
      <c r="L16" s="39">
        <f>SUM(F16:K16)</f>
        <v>165687.8462893082</v>
      </c>
    </row>
    <row r="17" spans="1:12" ht="15">
      <c r="A17" s="127" t="s">
        <v>297</v>
      </c>
      <c r="B17" s="124"/>
      <c r="C17" s="124"/>
      <c r="F17" s="39">
        <v>0</v>
      </c>
      <c r="G17" s="73">
        <v>0</v>
      </c>
      <c r="H17" s="52">
        <v>0</v>
      </c>
      <c r="I17" s="65">
        <f>-25-1</f>
        <v>-26</v>
      </c>
      <c r="J17" s="65"/>
      <c r="K17" s="39">
        <v>0</v>
      </c>
      <c r="L17" s="39">
        <f>SUM(F17:K17)</f>
        <v>-26</v>
      </c>
    </row>
    <row r="18" spans="1:12" ht="15">
      <c r="A18" s="127" t="s">
        <v>291</v>
      </c>
      <c r="B18" s="124"/>
      <c r="C18" s="124"/>
      <c r="F18" s="75">
        <v>-671864</v>
      </c>
      <c r="G18" s="73">
        <f>85000*0.5</f>
        <v>42500</v>
      </c>
      <c r="H18" s="52">
        <v>0</v>
      </c>
      <c r="I18" s="65">
        <v>0</v>
      </c>
      <c r="J18" s="65"/>
      <c r="K18" s="39">
        <v>0</v>
      </c>
      <c r="L18" s="39">
        <f>SUM(F18:K18)</f>
        <v>-629364</v>
      </c>
    </row>
    <row r="19" spans="1:12" ht="15">
      <c r="A19" s="127" t="s">
        <v>178</v>
      </c>
      <c r="B19" s="124"/>
      <c r="C19" s="124"/>
      <c r="F19" s="75">
        <v>0</v>
      </c>
      <c r="G19" s="73">
        <v>0</v>
      </c>
      <c r="H19" s="52">
        <f>-49124-3172</f>
        <v>-52296</v>
      </c>
      <c r="I19" s="65">
        <v>0</v>
      </c>
      <c r="J19" s="65"/>
      <c r="K19" s="39">
        <v>0</v>
      </c>
      <c r="L19" s="39">
        <f>SUM(F19:K19)</f>
        <v>-52296</v>
      </c>
    </row>
    <row r="20" spans="1:8" ht="15">
      <c r="A20" s="174" t="s">
        <v>279</v>
      </c>
      <c r="B20" s="124"/>
      <c r="C20" s="124"/>
      <c r="G20" s="2"/>
      <c r="H20" s="2"/>
    </row>
    <row r="21" spans="1:12" ht="15">
      <c r="A21" s="127" t="s">
        <v>277</v>
      </c>
      <c r="C21" s="124"/>
      <c r="F21" s="75">
        <v>0</v>
      </c>
      <c r="G21" s="73">
        <v>0</v>
      </c>
      <c r="H21" s="52">
        <v>0</v>
      </c>
      <c r="I21" s="65">
        <v>57355</v>
      </c>
      <c r="J21" s="65"/>
      <c r="K21" s="39">
        <v>0</v>
      </c>
      <c r="L21" s="39">
        <f>SUM(F21:K21)</f>
        <v>57355</v>
      </c>
    </row>
    <row r="22" spans="1:12" ht="15">
      <c r="A22" s="4" t="s">
        <v>156</v>
      </c>
      <c r="B22" s="4"/>
      <c r="C22" s="4"/>
      <c r="D22" s="4"/>
      <c r="E22" s="4"/>
      <c r="F22" s="75">
        <v>0</v>
      </c>
      <c r="G22" s="75">
        <v>-81166</v>
      </c>
      <c r="H22" s="52">
        <v>0</v>
      </c>
      <c r="I22" s="65">
        <v>0</v>
      </c>
      <c r="J22" s="65"/>
      <c r="K22" s="65">
        <v>0</v>
      </c>
      <c r="L22" s="39">
        <f>SUM(F22:K22)</f>
        <v>-81166</v>
      </c>
    </row>
    <row r="23" spans="1:12" ht="15">
      <c r="A23" s="192" t="s">
        <v>374</v>
      </c>
      <c r="B23" s="192"/>
      <c r="C23" s="192"/>
      <c r="D23" s="192"/>
      <c r="E23" s="192"/>
      <c r="F23" s="193">
        <v>0</v>
      </c>
      <c r="G23" s="193">
        <v>173807</v>
      </c>
      <c r="H23" s="188">
        <v>0</v>
      </c>
      <c r="I23" s="65">
        <v>10104</v>
      </c>
      <c r="J23" s="65"/>
      <c r="K23" s="65">
        <v>0</v>
      </c>
      <c r="L23" s="39">
        <f>SUM(F23:K23)</f>
        <v>183911</v>
      </c>
    </row>
    <row r="24" spans="1:12" ht="15">
      <c r="A24" s="4" t="s">
        <v>147</v>
      </c>
      <c r="B24" s="4"/>
      <c r="C24" s="4"/>
      <c r="D24" s="4"/>
      <c r="E24" s="4"/>
      <c r="F24" s="75"/>
      <c r="G24" s="75"/>
      <c r="H24" s="52"/>
      <c r="I24" s="65"/>
      <c r="J24" s="65"/>
      <c r="K24" s="65"/>
      <c r="L24" s="39"/>
    </row>
    <row r="25" spans="1:12" ht="15">
      <c r="A25" s="4" t="s">
        <v>278</v>
      </c>
      <c r="C25" s="4"/>
      <c r="D25" s="4"/>
      <c r="E25" s="4"/>
      <c r="F25" s="75">
        <v>0</v>
      </c>
      <c r="G25" s="75">
        <v>0</v>
      </c>
      <c r="H25" s="52">
        <v>0</v>
      </c>
      <c r="I25" s="154">
        <f>11549+718+1</f>
        <v>12268</v>
      </c>
      <c r="J25" s="65"/>
      <c r="K25" s="65">
        <v>0</v>
      </c>
      <c r="L25" s="39">
        <f>SUM(F25:K25)</f>
        <v>12268</v>
      </c>
    </row>
    <row r="26" spans="1:12" ht="15">
      <c r="A26" s="4" t="s">
        <v>301</v>
      </c>
      <c r="C26" s="4"/>
      <c r="D26" s="4"/>
      <c r="E26" s="4"/>
      <c r="F26" s="75"/>
      <c r="G26" s="75"/>
      <c r="H26" s="52"/>
      <c r="I26" s="65"/>
      <c r="J26" s="65"/>
      <c r="K26" s="65"/>
      <c r="L26" s="39"/>
    </row>
    <row r="27" spans="1:12" ht="15">
      <c r="A27" s="4" t="s">
        <v>302</v>
      </c>
      <c r="C27" s="4"/>
      <c r="D27" s="4"/>
      <c r="E27" s="4"/>
      <c r="F27" s="75"/>
      <c r="G27" s="75"/>
      <c r="H27" s="52"/>
      <c r="I27" s="65"/>
      <c r="J27" s="65"/>
      <c r="K27" s="65"/>
      <c r="L27" s="39"/>
    </row>
    <row r="28" spans="1:12" ht="15">
      <c r="A28" s="4" t="s">
        <v>299</v>
      </c>
      <c r="C28" s="4"/>
      <c r="D28" s="4"/>
      <c r="E28" s="4"/>
      <c r="F28" s="75"/>
      <c r="G28" s="75"/>
      <c r="H28" s="52"/>
      <c r="I28" s="65"/>
      <c r="J28" s="65"/>
      <c r="K28" s="65"/>
      <c r="L28" s="39"/>
    </row>
    <row r="29" spans="1:12" ht="15">
      <c r="A29" s="4" t="s">
        <v>298</v>
      </c>
      <c r="C29" s="4"/>
      <c r="D29" s="4"/>
      <c r="E29" s="4"/>
      <c r="F29" s="75">
        <v>0</v>
      </c>
      <c r="G29" s="75">
        <v>0</v>
      </c>
      <c r="H29" s="52">
        <v>0</v>
      </c>
      <c r="I29" s="65">
        <v>0</v>
      </c>
      <c r="J29" s="65"/>
      <c r="K29" s="154">
        <f>-34892-323</f>
        <v>-35215</v>
      </c>
      <c r="L29" s="39">
        <f>SUM(F29:K29)</f>
        <v>-35215</v>
      </c>
    </row>
    <row r="30" spans="1:12" ht="15">
      <c r="A30" s="4" t="s">
        <v>195</v>
      </c>
      <c r="B30" s="4"/>
      <c r="C30" s="4"/>
      <c r="D30" s="4"/>
      <c r="E30" s="4"/>
      <c r="F30" s="75">
        <v>0</v>
      </c>
      <c r="G30" s="75">
        <v>0</v>
      </c>
      <c r="H30" s="52">
        <v>0</v>
      </c>
      <c r="I30" s="65">
        <v>0</v>
      </c>
      <c r="J30" s="65"/>
      <c r="K30" s="65">
        <f>-89774-113286-113095-101148</f>
        <v>-417303</v>
      </c>
      <c r="L30" s="39">
        <f>SUM(F30:K30)</f>
        <v>-417303</v>
      </c>
    </row>
    <row r="31" spans="1:12" ht="15">
      <c r="A31" s="6" t="s">
        <v>390</v>
      </c>
      <c r="B31" s="6"/>
      <c r="C31" s="6"/>
      <c r="D31" s="6"/>
      <c r="E31" s="6"/>
      <c r="F31" s="90">
        <v>0</v>
      </c>
      <c r="G31" s="90">
        <v>0</v>
      </c>
      <c r="H31" s="135">
        <v>0</v>
      </c>
      <c r="I31" s="44">
        <v>0</v>
      </c>
      <c r="J31" s="44"/>
      <c r="K31" s="166">
        <f>+PL!H29</f>
        <v>443030</v>
      </c>
      <c r="L31" s="44">
        <f>SUM(I31:K31)</f>
        <v>443030</v>
      </c>
    </row>
    <row r="32" spans="6:12" ht="3.75" customHeight="1">
      <c r="F32" s="27"/>
      <c r="H32" s="52"/>
      <c r="I32" s="39"/>
      <c r="J32" s="39"/>
      <c r="K32" s="39"/>
      <c r="L32" s="39"/>
    </row>
    <row r="33" spans="1:12" ht="15">
      <c r="A33" s="164" t="s">
        <v>369</v>
      </c>
      <c r="C33" s="124"/>
      <c r="F33" s="39">
        <f aca="true" t="shared" si="0" ref="F33:L33">SUM(F15:F31)</f>
        <v>675515</v>
      </c>
      <c r="G33" s="39">
        <f t="shared" si="0"/>
        <v>-238427</v>
      </c>
      <c r="H33" s="39">
        <f t="shared" si="0"/>
        <v>0</v>
      </c>
      <c r="I33" s="39">
        <f t="shared" si="0"/>
        <v>350689.84628930816</v>
      </c>
      <c r="J33" s="52"/>
      <c r="K33" s="149">
        <f t="shared" si="0"/>
        <v>432451</v>
      </c>
      <c r="L33" s="39">
        <f t="shared" si="0"/>
        <v>1220228.8462893083</v>
      </c>
    </row>
    <row r="34" spans="1:12" ht="4.5" customHeight="1">
      <c r="A34" s="6"/>
      <c r="B34" s="6"/>
      <c r="C34" s="6"/>
      <c r="D34" s="6"/>
      <c r="E34" s="6"/>
      <c r="F34" s="89"/>
      <c r="G34" s="89"/>
      <c r="H34" s="135"/>
      <c r="I34" s="44"/>
      <c r="J34" s="44"/>
      <c r="K34" s="44"/>
      <c r="L34" s="44"/>
    </row>
    <row r="35" spans="6:12" ht="15">
      <c r="F35" s="27"/>
      <c r="H35" s="52"/>
      <c r="I35" s="39"/>
      <c r="J35" s="39"/>
      <c r="K35" s="39"/>
      <c r="L35" s="39"/>
    </row>
    <row r="36" spans="1:12" ht="4.5" customHeight="1">
      <c r="A36" s="4"/>
      <c r="B36" s="4"/>
      <c r="C36" s="4"/>
      <c r="D36" s="4"/>
      <c r="E36" s="4"/>
      <c r="F36" s="4"/>
      <c r="G36" s="59"/>
      <c r="H36" s="52"/>
      <c r="I36" s="65"/>
      <c r="J36" s="65"/>
      <c r="K36" s="65"/>
      <c r="L36" s="65"/>
    </row>
    <row r="37" spans="1:12" ht="16.5" customHeight="1">
      <c r="A37" s="202"/>
      <c r="B37" s="202"/>
      <c r="C37" s="4"/>
      <c r="D37" s="4"/>
      <c r="E37" s="4"/>
      <c r="F37" s="4"/>
      <c r="G37" s="59"/>
      <c r="H37" s="52"/>
      <c r="I37" s="65"/>
      <c r="J37" s="65"/>
      <c r="K37" s="65"/>
      <c r="L37" s="65"/>
    </row>
    <row r="38" spans="1:12" ht="15" customHeight="1">
      <c r="A38" s="124" t="s">
        <v>217</v>
      </c>
      <c r="B38" s="124"/>
      <c r="C38" s="124"/>
      <c r="D38" s="4"/>
      <c r="E38" s="4"/>
      <c r="F38" s="65">
        <v>1037588</v>
      </c>
      <c r="G38" s="140">
        <v>-215258</v>
      </c>
      <c r="H38" s="52">
        <v>133134</v>
      </c>
      <c r="I38" s="65">
        <v>203597</v>
      </c>
      <c r="J38" s="65"/>
      <c r="K38" s="65">
        <v>367374</v>
      </c>
      <c r="L38" s="65">
        <f>SUM(F38:K38)</f>
        <v>1526435</v>
      </c>
    </row>
    <row r="39" spans="1:12" ht="15">
      <c r="A39" s="127" t="s">
        <v>155</v>
      </c>
      <c r="B39" s="124"/>
      <c r="C39" s="124"/>
      <c r="F39" s="39">
        <v>174517</v>
      </c>
      <c r="G39" s="39">
        <v>0</v>
      </c>
      <c r="H39" s="39">
        <v>0</v>
      </c>
      <c r="I39" s="39">
        <v>34804</v>
      </c>
      <c r="J39" s="39"/>
      <c r="K39" s="72">
        <v>0</v>
      </c>
      <c r="L39" s="39">
        <f>SUM(F39:K39)</f>
        <v>209321</v>
      </c>
    </row>
    <row r="40" spans="1:12" ht="15">
      <c r="A40" s="4" t="s">
        <v>178</v>
      </c>
      <c r="B40" s="4"/>
      <c r="C40" s="4"/>
      <c r="F40" s="39">
        <v>0</v>
      </c>
      <c r="G40" s="39">
        <v>0</v>
      </c>
      <c r="H40" s="39">
        <v>-80838</v>
      </c>
      <c r="I40" s="39">
        <v>0</v>
      </c>
      <c r="J40" s="39"/>
      <c r="K40" s="72">
        <v>0</v>
      </c>
      <c r="L40" s="39">
        <f>SUM(F40:K40)</f>
        <v>-80838</v>
      </c>
    </row>
    <row r="41" spans="1:12" ht="15">
      <c r="A41" s="4" t="s">
        <v>156</v>
      </c>
      <c r="B41" s="4"/>
      <c r="C41" s="4"/>
      <c r="F41" s="170">
        <v>0</v>
      </c>
      <c r="G41" s="39">
        <v>-158310</v>
      </c>
      <c r="H41" s="39">
        <v>0</v>
      </c>
      <c r="I41" s="39">
        <v>0</v>
      </c>
      <c r="J41" s="39"/>
      <c r="K41" s="72">
        <v>0</v>
      </c>
      <c r="L41" s="39">
        <f>SUM(F41:K41)</f>
        <v>-158310</v>
      </c>
    </row>
    <row r="42" spans="1:12" ht="15">
      <c r="A42" s="4" t="s">
        <v>147</v>
      </c>
      <c r="B42" s="4"/>
      <c r="C42" s="4"/>
      <c r="F42" s="39"/>
      <c r="G42" s="39"/>
      <c r="H42" s="39"/>
      <c r="I42" s="39"/>
      <c r="J42" s="39"/>
      <c r="K42" s="72"/>
      <c r="L42" s="39"/>
    </row>
    <row r="43" spans="1:12" ht="15">
      <c r="A43" s="4" t="s">
        <v>278</v>
      </c>
      <c r="C43" s="4"/>
      <c r="F43" s="39">
        <v>0</v>
      </c>
      <c r="G43" s="39">
        <v>0</v>
      </c>
      <c r="H43" s="39">
        <v>0</v>
      </c>
      <c r="I43" s="39">
        <v>2174</v>
      </c>
      <c r="J43" s="39"/>
      <c r="K43" s="72">
        <v>0</v>
      </c>
      <c r="L43" s="39">
        <f>SUM(F43:K43)</f>
        <v>2174</v>
      </c>
    </row>
    <row r="44" spans="1:12" ht="15">
      <c r="A44" s="4" t="s">
        <v>17</v>
      </c>
      <c r="B44" s="4"/>
      <c r="C44" s="4"/>
      <c r="F44" s="39">
        <v>0</v>
      </c>
      <c r="G44" s="39">
        <v>0</v>
      </c>
      <c r="H44" s="39">
        <v>0</v>
      </c>
      <c r="I44" s="39">
        <v>0</v>
      </c>
      <c r="J44" s="39"/>
      <c r="K44" s="72">
        <v>-253591</v>
      </c>
      <c r="L44" s="39">
        <f>SUM(F44:K44)</f>
        <v>-253591</v>
      </c>
    </row>
    <row r="45" spans="1:12" ht="15">
      <c r="A45" s="6" t="s">
        <v>390</v>
      </c>
      <c r="B45" s="6"/>
      <c r="C45" s="6"/>
      <c r="D45" s="6"/>
      <c r="E45" s="6"/>
      <c r="F45" s="44">
        <v>0</v>
      </c>
      <c r="G45" s="44">
        <v>0</v>
      </c>
      <c r="H45" s="44">
        <v>0</v>
      </c>
      <c r="I45" s="44">
        <v>0</v>
      </c>
      <c r="J45" s="44"/>
      <c r="K45" s="148">
        <v>328156</v>
      </c>
      <c r="L45" s="44">
        <f>SUM(F45:K45)</f>
        <v>328156</v>
      </c>
    </row>
    <row r="46" spans="6:12" ht="4.5" customHeight="1">
      <c r="F46" s="39"/>
      <c r="G46" s="39"/>
      <c r="H46" s="39"/>
      <c r="I46" s="39"/>
      <c r="J46" s="39"/>
      <c r="K46" s="72"/>
      <c r="L46" s="39"/>
    </row>
    <row r="47" spans="1:12" ht="15">
      <c r="A47" s="164" t="s">
        <v>368</v>
      </c>
      <c r="C47"/>
      <c r="F47" s="39">
        <f>SUM(F38:F45)</f>
        <v>1212105</v>
      </c>
      <c r="G47" s="39">
        <f aca="true" t="shared" si="1" ref="G47:L47">SUM(G38:G45)</f>
        <v>-373568</v>
      </c>
      <c r="H47" s="39">
        <f t="shared" si="1"/>
        <v>52296</v>
      </c>
      <c r="I47" s="39">
        <f t="shared" si="1"/>
        <v>240575</v>
      </c>
      <c r="J47" s="39">
        <f t="shared" si="1"/>
        <v>0</v>
      </c>
      <c r="K47" s="39">
        <f t="shared" si="1"/>
        <v>441939</v>
      </c>
      <c r="L47" s="39">
        <f t="shared" si="1"/>
        <v>1573347</v>
      </c>
    </row>
    <row r="48" spans="1:12" ht="5.25" customHeight="1">
      <c r="A48" s="6"/>
      <c r="B48" s="6"/>
      <c r="C48" s="6"/>
      <c r="D48" s="6"/>
      <c r="E48" s="6"/>
      <c r="F48" s="44"/>
      <c r="G48" s="44"/>
      <c r="H48" s="44"/>
      <c r="I48" s="44"/>
      <c r="J48" s="44"/>
      <c r="K48" s="125"/>
      <c r="L48" s="44"/>
    </row>
    <row r="49" spans="6:12" ht="15">
      <c r="F49" s="39"/>
      <c r="G49" s="39"/>
      <c r="H49" s="39"/>
      <c r="I49" s="39"/>
      <c r="J49" s="39"/>
      <c r="K49" s="72"/>
      <c r="L49" s="39"/>
    </row>
    <row r="50" spans="1:12" ht="15">
      <c r="A50" s="203"/>
      <c r="B50" s="202"/>
      <c r="F50" s="39"/>
      <c r="G50" s="39"/>
      <c r="H50" s="39"/>
      <c r="I50" s="39"/>
      <c r="J50" s="39"/>
      <c r="K50" s="72"/>
      <c r="L50" s="39"/>
    </row>
    <row r="51" spans="6:12" ht="15">
      <c r="F51" s="39"/>
      <c r="G51" s="39"/>
      <c r="H51" s="39"/>
      <c r="I51" s="39"/>
      <c r="J51" s="39"/>
      <c r="K51" s="72"/>
      <c r="L51" s="39"/>
    </row>
    <row r="52" spans="1:12" ht="15">
      <c r="A52" s="68"/>
      <c r="F52" s="39"/>
      <c r="G52" s="39"/>
      <c r="H52" s="39"/>
      <c r="I52" s="39"/>
      <c r="J52" s="39"/>
      <c r="K52" s="72"/>
      <c r="L52" s="39"/>
    </row>
    <row r="53" spans="6:12" ht="15">
      <c r="F53" s="39"/>
      <c r="G53" s="39"/>
      <c r="H53" s="39"/>
      <c r="I53" s="39"/>
      <c r="J53" s="39"/>
      <c r="K53" s="72"/>
      <c r="L53" s="39"/>
    </row>
    <row r="54" spans="6:12" ht="15">
      <c r="F54" s="39"/>
      <c r="G54" s="39"/>
      <c r="H54" s="39"/>
      <c r="I54" s="39"/>
      <c r="J54" s="39"/>
      <c r="K54" s="72"/>
      <c r="L54" s="39"/>
    </row>
    <row r="55" spans="6:12" ht="15">
      <c r="F55" s="39"/>
      <c r="G55" s="39"/>
      <c r="H55" s="39"/>
      <c r="I55" s="39"/>
      <c r="J55" s="39"/>
      <c r="K55" s="72"/>
      <c r="L55" s="39"/>
    </row>
    <row r="56" spans="6:12" ht="15">
      <c r="F56" s="39"/>
      <c r="G56" s="52"/>
      <c r="H56" s="52"/>
      <c r="I56" s="39"/>
      <c r="J56" s="39"/>
      <c r="K56" s="39"/>
      <c r="L56" s="39"/>
    </row>
    <row r="57" spans="6:12" ht="15.75" customHeight="1">
      <c r="F57" s="39"/>
      <c r="G57" s="52"/>
      <c r="H57" s="52"/>
      <c r="I57" s="39"/>
      <c r="J57" s="39"/>
      <c r="K57" s="39"/>
      <c r="L57" s="39"/>
    </row>
    <row r="58" spans="1:12" ht="15">
      <c r="A58" s="5" t="s">
        <v>223</v>
      </c>
      <c r="F58" s="39"/>
      <c r="G58" s="52"/>
      <c r="H58" s="52"/>
      <c r="I58" s="39"/>
      <c r="J58" s="39"/>
      <c r="K58" s="39"/>
      <c r="L58" s="39"/>
    </row>
    <row r="59" spans="6:12" ht="11.25" customHeight="1">
      <c r="F59" s="39"/>
      <c r="G59" s="52"/>
      <c r="H59" s="52"/>
      <c r="I59" s="39"/>
      <c r="J59" s="39"/>
      <c r="K59" s="39"/>
      <c r="L59" s="39"/>
    </row>
    <row r="60" spans="6:12" ht="15">
      <c r="F60" s="39"/>
      <c r="G60" s="52"/>
      <c r="H60" s="52"/>
      <c r="I60" s="39"/>
      <c r="J60" s="39"/>
      <c r="K60" s="39"/>
      <c r="L60" s="39"/>
    </row>
    <row r="61" spans="6:14" ht="15">
      <c r="F61" s="39"/>
      <c r="G61" s="52"/>
      <c r="H61" s="52"/>
      <c r="I61" s="39"/>
      <c r="J61" s="39"/>
      <c r="K61" s="39"/>
      <c r="L61" s="52"/>
      <c r="M61" s="27"/>
      <c r="N61" s="27" t="s">
        <v>42</v>
      </c>
    </row>
    <row r="62" spans="6:12" ht="15">
      <c r="F62" s="39"/>
      <c r="G62" s="52"/>
      <c r="H62" s="52"/>
      <c r="I62" s="39"/>
      <c r="J62" s="39"/>
      <c r="K62" s="39"/>
      <c r="L62" s="39"/>
    </row>
    <row r="63" spans="6:12" ht="15">
      <c r="F63" s="39"/>
      <c r="G63" s="52"/>
      <c r="H63" s="52"/>
      <c r="I63" s="39"/>
      <c r="J63" s="39"/>
      <c r="K63" s="39"/>
      <c r="L63" s="39"/>
    </row>
    <row r="64" spans="6:12" ht="15">
      <c r="F64" s="39"/>
      <c r="G64" s="52"/>
      <c r="H64" s="52"/>
      <c r="I64" s="39"/>
      <c r="J64" s="39"/>
      <c r="K64" s="39"/>
      <c r="L64" s="39"/>
    </row>
    <row r="65" spans="6:12" ht="15">
      <c r="F65" s="39"/>
      <c r="G65" s="52"/>
      <c r="H65" s="52"/>
      <c r="I65" s="39"/>
      <c r="J65" s="39"/>
      <c r="K65" s="39"/>
      <c r="L65" s="39"/>
    </row>
    <row r="66" spans="6:12" ht="15">
      <c r="F66" s="39"/>
      <c r="G66" s="52"/>
      <c r="H66" s="52"/>
      <c r="I66" s="39"/>
      <c r="J66" s="39"/>
      <c r="K66" s="39"/>
      <c r="L66" s="39"/>
    </row>
    <row r="67" spans="9:12" ht="15">
      <c r="I67" s="39"/>
      <c r="J67" s="39"/>
      <c r="K67" s="39"/>
      <c r="L67" s="39"/>
    </row>
    <row r="68" spans="9:12" ht="15">
      <c r="I68" s="39"/>
      <c r="J68" s="39"/>
      <c r="K68" s="39"/>
      <c r="L68" s="39"/>
    </row>
    <row r="69" spans="9:12" ht="15">
      <c r="I69" s="39"/>
      <c r="J69" s="39"/>
      <c r="K69" s="39"/>
      <c r="L69" s="39"/>
    </row>
    <row r="70" spans="9:12" ht="15">
      <c r="I70" s="39"/>
      <c r="J70" s="39"/>
      <c r="K70" s="39"/>
      <c r="L70" s="39"/>
    </row>
    <row r="71" spans="9:12" ht="15">
      <c r="I71" s="39"/>
      <c r="J71" s="39"/>
      <c r="K71" s="39"/>
      <c r="L71" s="39"/>
    </row>
    <row r="72" spans="9:12" ht="15">
      <c r="I72" s="39"/>
      <c r="J72" s="39"/>
      <c r="K72" s="39"/>
      <c r="L72" s="39"/>
    </row>
    <row r="73" spans="9:12" ht="15">
      <c r="I73" s="39"/>
      <c r="J73" s="39"/>
      <c r="K73" s="39"/>
      <c r="L73" s="39"/>
    </row>
    <row r="74" spans="9:12" ht="15">
      <c r="I74" s="39"/>
      <c r="J74" s="39"/>
      <c r="K74" s="39"/>
      <c r="L74" s="39"/>
    </row>
    <row r="75" spans="9:12" ht="15">
      <c r="I75" s="39"/>
      <c r="J75" s="39"/>
      <c r="K75" s="39"/>
      <c r="L75" s="39"/>
    </row>
    <row r="76" spans="9:12" ht="15">
      <c r="I76" s="39"/>
      <c r="J76" s="39"/>
      <c r="K76" s="39"/>
      <c r="L76" s="39"/>
    </row>
    <row r="77" spans="9:12" ht="15">
      <c r="I77" s="39"/>
      <c r="J77" s="39"/>
      <c r="K77" s="39"/>
      <c r="L77" s="39"/>
    </row>
    <row r="78" spans="9:12" ht="15">
      <c r="I78" s="39"/>
      <c r="J78" s="39"/>
      <c r="K78" s="39"/>
      <c r="L78" s="39"/>
    </row>
    <row r="79" spans="9:12" ht="15">
      <c r="I79" s="39"/>
      <c r="J79" s="39"/>
      <c r="K79" s="39"/>
      <c r="L79" s="39"/>
    </row>
    <row r="80" spans="9:12" ht="15">
      <c r="I80" s="39"/>
      <c r="J80" s="39"/>
      <c r="K80" s="39"/>
      <c r="L80" s="39"/>
    </row>
    <row r="81" spans="9:12" ht="15">
      <c r="I81" s="39"/>
      <c r="J81" s="39"/>
      <c r="K81" s="39"/>
      <c r="L81" s="39"/>
    </row>
    <row r="82" spans="9:12" ht="15">
      <c r="I82" s="39"/>
      <c r="J82" s="39"/>
      <c r="K82" s="39"/>
      <c r="L82" s="39"/>
    </row>
    <row r="83" spans="9:12" ht="15">
      <c r="I83" s="39"/>
      <c r="J83" s="39"/>
      <c r="K83" s="39"/>
      <c r="L83" s="39"/>
    </row>
    <row r="84" spans="9:12" ht="15">
      <c r="I84" s="39"/>
      <c r="J84" s="39"/>
      <c r="K84" s="39"/>
      <c r="L84" s="39"/>
    </row>
    <row r="85" spans="9:12" ht="15">
      <c r="I85" s="39"/>
      <c r="J85" s="39"/>
      <c r="K85" s="39"/>
      <c r="L85" s="39"/>
    </row>
    <row r="86" spans="9:12" ht="15">
      <c r="I86" s="39"/>
      <c r="J86" s="39"/>
      <c r="K86" s="39"/>
      <c r="L86" s="39"/>
    </row>
    <row r="87" spans="9:12" ht="15">
      <c r="I87" s="39"/>
      <c r="J87" s="39"/>
      <c r="K87" s="39"/>
      <c r="L87" s="39"/>
    </row>
    <row r="88" spans="9:12" ht="15">
      <c r="I88" s="39"/>
      <c r="J88" s="39"/>
      <c r="K88" s="39"/>
      <c r="L88" s="39"/>
    </row>
    <row r="89" spans="9:12" ht="15">
      <c r="I89" s="39"/>
      <c r="J89" s="39"/>
      <c r="K89" s="39"/>
      <c r="L89" s="39"/>
    </row>
    <row r="90" spans="9:12" ht="15">
      <c r="I90" s="39"/>
      <c r="J90" s="39"/>
      <c r="K90" s="39"/>
      <c r="L90" s="39"/>
    </row>
    <row r="91" spans="9:12" ht="15">
      <c r="I91" s="39"/>
      <c r="J91" s="39"/>
      <c r="K91" s="39"/>
      <c r="L91" s="39"/>
    </row>
  </sheetData>
  <mergeCells count="3">
    <mergeCell ref="A37:B37"/>
    <mergeCell ref="A50:B50"/>
    <mergeCell ref="I10:K10"/>
  </mergeCells>
  <printOptions/>
  <pageMargins left="0.55" right="0.23" top="0.86" bottom="0.31" header="0.5" footer="0.5"/>
  <pageSetup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30-4-2006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60"/>
  <sheetViews>
    <sheetView showGridLines="0" workbookViewId="0" topLeftCell="A1">
      <selection activeCell="H52" sqref="H52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9.7109375" style="2" customWidth="1"/>
    <col min="8" max="8" width="14.7109375" style="2" customWidth="1"/>
    <col min="9" max="9" width="0.85546875" style="2" customWidth="1"/>
    <col min="10" max="10" width="14.7109375" style="67" customWidth="1"/>
    <col min="11" max="16384" width="9.140625" style="2" customWidth="1"/>
  </cols>
  <sheetData>
    <row r="1" ht="13.5" customHeight="1"/>
    <row r="2" ht="4.5" customHeight="1"/>
    <row r="3" ht="0.75" customHeight="1" hidden="1"/>
    <row r="4" ht="15">
      <c r="A4" s="5" t="str">
        <f>PL!A5</f>
        <v>UNAUDITED QUARTERLY FINANCIAL REPORT FOR THE YEAR ENDED 30 APRIL 2006</v>
      </c>
    </row>
    <row r="5" spans="1:10" s="4" customFormat="1" ht="15.75" thickBot="1">
      <c r="A5" s="133" t="s">
        <v>94</v>
      </c>
      <c r="B5" s="10"/>
      <c r="C5" s="10"/>
      <c r="D5" s="10"/>
      <c r="E5" s="10"/>
      <c r="F5" s="10"/>
      <c r="G5" s="10"/>
      <c r="H5" s="10"/>
      <c r="I5" s="10"/>
      <c r="J5" s="134"/>
    </row>
    <row r="6" spans="1:10" ht="15">
      <c r="A6" s="4"/>
      <c r="B6" s="4"/>
      <c r="C6" s="4"/>
      <c r="D6" s="4"/>
      <c r="E6" s="4"/>
      <c r="F6" s="4"/>
      <c r="G6" s="4"/>
      <c r="H6" s="12" t="s">
        <v>370</v>
      </c>
      <c r="I6" s="12"/>
      <c r="J6" s="12" t="str">
        <f>+H6</f>
        <v>12-month ended</v>
      </c>
    </row>
    <row r="7" spans="1:10" ht="15">
      <c r="A7" s="4"/>
      <c r="B7" s="4"/>
      <c r="C7" s="4"/>
      <c r="D7" s="4"/>
      <c r="E7" s="4"/>
      <c r="F7" s="4"/>
      <c r="G7" s="4"/>
      <c r="H7" s="176" t="str">
        <f>+PL!H10</f>
        <v>30-4-2006</v>
      </c>
      <c r="I7" s="12"/>
      <c r="J7" s="12" t="str">
        <f>+PL!I10</f>
        <v>30-4-2005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 t="s">
        <v>19</v>
      </c>
      <c r="I8" s="1"/>
      <c r="J8" s="1" t="s">
        <v>19</v>
      </c>
    </row>
    <row r="9" spans="8:10" ht="1.5" customHeight="1">
      <c r="H9" s="85"/>
      <c r="I9" s="85"/>
      <c r="J9" s="85"/>
    </row>
    <row r="10" spans="1:10" ht="15">
      <c r="A10" s="5" t="s">
        <v>161</v>
      </c>
      <c r="H10" s="85"/>
      <c r="I10" s="85"/>
      <c r="J10" s="85"/>
    </row>
    <row r="11" spans="1:10" ht="15">
      <c r="A11" s="2" t="s">
        <v>166</v>
      </c>
      <c r="H11" s="85">
        <v>3206260</v>
      </c>
      <c r="I11" s="85"/>
      <c r="J11" s="85">
        <f>2892608</f>
        <v>2892608</v>
      </c>
    </row>
    <row r="12" spans="1:10" ht="15">
      <c r="A12" s="2" t="s">
        <v>243</v>
      </c>
      <c r="H12" s="85"/>
      <c r="I12" s="85"/>
      <c r="J12" s="85"/>
    </row>
    <row r="13" spans="2:10" ht="15">
      <c r="B13" s="2" t="s">
        <v>242</v>
      </c>
      <c r="H13" s="85">
        <f>-2172567-465407-150435</f>
        <v>-2788409</v>
      </c>
      <c r="I13" s="85"/>
      <c r="J13" s="85">
        <f>-2020095-440618-144085</f>
        <v>-2604798</v>
      </c>
    </row>
    <row r="14" spans="1:10" ht="15">
      <c r="A14" s="2" t="s">
        <v>312</v>
      </c>
      <c r="H14" s="85">
        <v>152</v>
      </c>
      <c r="I14" s="85"/>
      <c r="J14" s="85">
        <v>294</v>
      </c>
    </row>
    <row r="15" spans="1:10" ht="15">
      <c r="A15" s="5" t="s">
        <v>102</v>
      </c>
      <c r="B15" s="5"/>
      <c r="C15" s="5"/>
      <c r="D15" s="5"/>
      <c r="E15" s="5"/>
      <c r="F15" s="5"/>
      <c r="G15" s="5"/>
      <c r="H15" s="130">
        <f>SUM(H11:H14)</f>
        <v>418003</v>
      </c>
      <c r="I15" s="131"/>
      <c r="J15" s="130">
        <f>SUM(J11:J14)</f>
        <v>288104</v>
      </c>
    </row>
    <row r="16" spans="1:10" ht="2.25" customHeight="1">
      <c r="A16" s="5"/>
      <c r="B16" s="5"/>
      <c r="C16" s="5"/>
      <c r="D16" s="5"/>
      <c r="E16" s="5"/>
      <c r="F16" s="5"/>
      <c r="G16" s="5"/>
      <c r="H16" s="85"/>
      <c r="I16" s="85"/>
      <c r="J16" s="85"/>
    </row>
    <row r="17" spans="1:10" ht="15">
      <c r="A17" s="5" t="s">
        <v>162</v>
      </c>
      <c r="B17" s="5"/>
      <c r="C17" s="5"/>
      <c r="D17" s="5"/>
      <c r="E17" s="5"/>
      <c r="F17" s="5"/>
      <c r="G17" s="5"/>
      <c r="H17" s="85"/>
      <c r="I17" s="85"/>
      <c r="J17" s="85"/>
    </row>
    <row r="18" spans="1:10" ht="15">
      <c r="A18" s="2" t="s">
        <v>167</v>
      </c>
      <c r="B18" s="5"/>
      <c r="C18" s="5"/>
      <c r="D18" s="5"/>
      <c r="E18" s="5"/>
      <c r="F18" s="5"/>
      <c r="G18" s="5"/>
      <c r="H18" s="85">
        <v>648</v>
      </c>
      <c r="I18" s="85"/>
      <c r="J18" s="85">
        <v>285</v>
      </c>
    </row>
    <row r="19" spans="1:10" ht="15">
      <c r="A19" s="2" t="s">
        <v>283</v>
      </c>
      <c r="B19" s="5"/>
      <c r="C19" s="5"/>
      <c r="D19" s="5"/>
      <c r="E19" s="5"/>
      <c r="F19" s="5"/>
      <c r="G19" s="5"/>
      <c r="H19" s="85">
        <v>114005</v>
      </c>
      <c r="I19" s="85"/>
      <c r="J19" s="85">
        <v>0</v>
      </c>
    </row>
    <row r="20" spans="1:10" ht="15">
      <c r="A20" s="2" t="s">
        <v>446</v>
      </c>
      <c r="B20" s="5"/>
      <c r="C20" s="5"/>
      <c r="D20" s="5"/>
      <c r="E20" s="5"/>
      <c r="F20" s="5"/>
      <c r="G20" s="5"/>
      <c r="H20" s="85">
        <v>2906</v>
      </c>
      <c r="I20" s="85"/>
      <c r="J20" s="85">
        <v>0</v>
      </c>
    </row>
    <row r="21" spans="1:10" ht="15">
      <c r="A21" s="2" t="s">
        <v>229</v>
      </c>
      <c r="B21" s="5"/>
      <c r="C21" s="5"/>
      <c r="D21" s="5"/>
      <c r="E21" s="5"/>
      <c r="F21" s="5"/>
      <c r="G21" s="5"/>
      <c r="J21" s="2"/>
    </row>
    <row r="22" spans="2:10" ht="15">
      <c r="B22" s="2" t="s">
        <v>228</v>
      </c>
      <c r="C22" s="5"/>
      <c r="D22" s="5"/>
      <c r="E22" s="5"/>
      <c r="F22" s="5"/>
      <c r="G22" s="5"/>
      <c r="H22" s="85">
        <f>-94-5875-14681</f>
        <v>-20650</v>
      </c>
      <c r="I22" s="85"/>
      <c r="J22" s="85">
        <v>-3474</v>
      </c>
    </row>
    <row r="23" spans="1:10" ht="15">
      <c r="A23" s="2" t="s">
        <v>233</v>
      </c>
      <c r="B23" s="5"/>
      <c r="C23" s="5"/>
      <c r="D23" s="5"/>
      <c r="E23" s="5"/>
      <c r="F23" s="5"/>
      <c r="G23" s="5"/>
      <c r="H23" s="85">
        <v>0</v>
      </c>
      <c r="I23" s="85"/>
      <c r="J23" s="85">
        <v>-152</v>
      </c>
    </row>
    <row r="24" spans="1:10" ht="15">
      <c r="A24" s="2" t="s">
        <v>163</v>
      </c>
      <c r="B24" s="5"/>
      <c r="C24" s="5"/>
      <c r="D24" s="5"/>
      <c r="E24" s="5"/>
      <c r="F24" s="5"/>
      <c r="G24" s="5"/>
      <c r="H24" s="85">
        <v>-17534</v>
      </c>
      <c r="I24" s="85"/>
      <c r="J24" s="85">
        <v>-12517</v>
      </c>
    </row>
    <row r="25" spans="1:10" ht="15">
      <c r="A25" s="2" t="s">
        <v>310</v>
      </c>
      <c r="B25" s="5"/>
      <c r="C25" s="5"/>
      <c r="D25" s="5"/>
      <c r="E25" s="5"/>
      <c r="F25" s="5"/>
      <c r="G25" s="5"/>
      <c r="H25" s="85">
        <v>-660</v>
      </c>
      <c r="I25" s="85"/>
      <c r="J25" s="85">
        <v>-816</v>
      </c>
    </row>
    <row r="26" spans="1:10" ht="15">
      <c r="A26" s="2" t="s">
        <v>352</v>
      </c>
      <c r="B26" s="5"/>
      <c r="C26" s="5"/>
      <c r="D26" s="5"/>
      <c r="E26" s="5"/>
      <c r="F26" s="5"/>
      <c r="G26" s="5"/>
      <c r="H26" s="85">
        <f>176993</f>
        <v>176993</v>
      </c>
      <c r="I26" s="85"/>
      <c r="J26" s="85">
        <f>272524+648</f>
        <v>273172</v>
      </c>
    </row>
    <row r="27" spans="1:10" ht="15">
      <c r="A27" s="2" t="s">
        <v>417</v>
      </c>
      <c r="B27" s="5"/>
      <c r="C27" s="5"/>
      <c r="D27" s="5"/>
      <c r="E27" s="5"/>
      <c r="F27" s="5"/>
      <c r="G27" s="5"/>
      <c r="H27" s="85">
        <f>-790+452</f>
        <v>-338</v>
      </c>
      <c r="I27" s="85"/>
      <c r="J27" s="85">
        <v>-250</v>
      </c>
    </row>
    <row r="28" spans="1:10" ht="15">
      <c r="A28" s="2" t="s">
        <v>355</v>
      </c>
      <c r="B28" s="5"/>
      <c r="C28" s="5"/>
      <c r="D28" s="5"/>
      <c r="E28" s="5"/>
      <c r="F28" s="5"/>
      <c r="G28" s="5"/>
      <c r="H28" s="85">
        <v>12231</v>
      </c>
      <c r="I28" s="85"/>
      <c r="J28" s="85">
        <v>6135</v>
      </c>
    </row>
    <row r="29" spans="1:10" ht="15">
      <c r="A29" s="2" t="s">
        <v>358</v>
      </c>
      <c r="B29" s="5"/>
      <c r="C29" s="5"/>
      <c r="D29" s="5"/>
      <c r="E29" s="5"/>
      <c r="F29" s="5"/>
      <c r="G29" s="5"/>
      <c r="H29" s="85">
        <f>-2922+1</f>
        <v>-2921</v>
      </c>
      <c r="I29" s="85"/>
      <c r="J29" s="85">
        <v>0</v>
      </c>
    </row>
    <row r="30" spans="1:10" ht="15">
      <c r="A30" s="2" t="s">
        <v>286</v>
      </c>
      <c r="B30" s="5"/>
      <c r="C30" s="5"/>
      <c r="D30" s="5"/>
      <c r="E30" s="5"/>
      <c r="F30" s="5"/>
      <c r="G30" s="5"/>
      <c r="H30" s="85">
        <f>379+1</f>
        <v>380</v>
      </c>
      <c r="I30" s="85"/>
      <c r="J30" s="85">
        <v>1401</v>
      </c>
    </row>
    <row r="31" spans="1:10" ht="15">
      <c r="A31" s="5" t="s">
        <v>356</v>
      </c>
      <c r="B31" s="5"/>
      <c r="C31" s="5"/>
      <c r="D31" s="5"/>
      <c r="E31" s="5"/>
      <c r="F31" s="5"/>
      <c r="G31" s="5"/>
      <c r="H31" s="130">
        <f>SUM(H18:H30)</f>
        <v>265060</v>
      </c>
      <c r="I31" s="131"/>
      <c r="J31" s="130">
        <f>SUM(J18:J30)</f>
        <v>263784</v>
      </c>
    </row>
    <row r="32" spans="1:10" ht="2.25" customHeight="1">
      <c r="A32" s="5"/>
      <c r="B32" s="5"/>
      <c r="C32" s="5"/>
      <c r="D32" s="5"/>
      <c r="E32" s="5"/>
      <c r="F32" s="5"/>
      <c r="G32" s="5"/>
      <c r="H32" s="131"/>
      <c r="I32" s="131"/>
      <c r="J32" s="131"/>
    </row>
    <row r="33" spans="1:10" ht="15">
      <c r="A33" s="5" t="s">
        <v>164</v>
      </c>
      <c r="B33" s="5"/>
      <c r="C33" s="5"/>
      <c r="D33" s="5"/>
      <c r="E33" s="5"/>
      <c r="F33" s="5"/>
      <c r="G33" s="5"/>
      <c r="H33" s="131"/>
      <c r="I33" s="131"/>
      <c r="J33" s="131"/>
    </row>
    <row r="34" spans="1:10" ht="15">
      <c r="A34" s="2" t="s">
        <v>165</v>
      </c>
      <c r="B34" s="5"/>
      <c r="C34" s="5"/>
      <c r="D34" s="5"/>
      <c r="E34" s="5"/>
      <c r="F34" s="5"/>
      <c r="G34" s="5"/>
      <c r="H34" s="131">
        <v>26313</v>
      </c>
      <c r="I34" s="131"/>
      <c r="J34" s="131">
        <v>36063</v>
      </c>
    </row>
    <row r="35" spans="1:10" ht="15">
      <c r="A35" s="2" t="s">
        <v>313</v>
      </c>
      <c r="B35" s="5"/>
      <c r="C35" s="5"/>
      <c r="D35" s="5"/>
      <c r="E35" s="5"/>
      <c r="F35" s="5"/>
      <c r="G35" s="5"/>
      <c r="H35" s="131">
        <v>-629042</v>
      </c>
      <c r="I35" s="131"/>
      <c r="J35" s="131">
        <v>0</v>
      </c>
    </row>
    <row r="36" spans="1:10" ht="15">
      <c r="A36" s="2" t="s">
        <v>311</v>
      </c>
      <c r="B36" s="5"/>
      <c r="C36" s="5"/>
      <c r="D36" s="5"/>
      <c r="E36" s="5"/>
      <c r="F36" s="5"/>
      <c r="G36" s="5"/>
      <c r="H36" s="131">
        <v>600000</v>
      </c>
      <c r="I36" s="131"/>
      <c r="J36" s="131">
        <v>0</v>
      </c>
    </row>
    <row r="37" spans="1:10" ht="15">
      <c r="A37" s="2" t="s">
        <v>219</v>
      </c>
      <c r="B37" s="5"/>
      <c r="C37" s="5"/>
      <c r="D37" s="5"/>
      <c r="E37" s="5"/>
      <c r="F37" s="5"/>
      <c r="G37" s="5"/>
      <c r="H37" s="131">
        <v>-28603</v>
      </c>
      <c r="I37" s="131"/>
      <c r="J37" s="131">
        <v>-1520</v>
      </c>
    </row>
    <row r="38" spans="1:10" ht="15">
      <c r="A38" s="2" t="s">
        <v>197</v>
      </c>
      <c r="B38" s="5"/>
      <c r="C38" s="5"/>
      <c r="D38" s="5"/>
      <c r="E38" s="5"/>
      <c r="F38" s="5"/>
      <c r="G38" s="5"/>
      <c r="H38" s="131">
        <v>-81166</v>
      </c>
      <c r="I38" s="131"/>
      <c r="J38" s="131">
        <v>-158310</v>
      </c>
    </row>
    <row r="39" spans="1:10" ht="15">
      <c r="A39" s="2" t="s">
        <v>443</v>
      </c>
      <c r="B39" s="5"/>
      <c r="C39" s="5"/>
      <c r="D39" s="5"/>
      <c r="E39" s="5"/>
      <c r="F39" s="5"/>
      <c r="G39" s="5"/>
      <c r="H39" s="85">
        <v>183911</v>
      </c>
      <c r="I39" s="85"/>
      <c r="J39" s="85">
        <v>0</v>
      </c>
    </row>
    <row r="40" spans="1:10" ht="15">
      <c r="A40" s="2" t="s">
        <v>168</v>
      </c>
      <c r="B40" s="5"/>
      <c r="C40" s="5"/>
      <c r="D40" s="5"/>
      <c r="E40" s="5"/>
      <c r="F40" s="5"/>
      <c r="G40" s="5"/>
      <c r="H40" s="131">
        <v>-418650</v>
      </c>
      <c r="I40" s="131"/>
      <c r="J40" s="131">
        <v>-399957</v>
      </c>
    </row>
    <row r="41" spans="1:10" ht="15">
      <c r="A41" s="2" t="s">
        <v>372</v>
      </c>
      <c r="B41" s="5"/>
      <c r="C41" s="5"/>
      <c r="D41" s="5"/>
      <c r="E41" s="5"/>
      <c r="F41" s="5"/>
      <c r="G41" s="5"/>
      <c r="H41" s="131">
        <v>-26</v>
      </c>
      <c r="I41" s="131"/>
      <c r="J41" s="131">
        <v>-100</v>
      </c>
    </row>
    <row r="42" spans="1:10" ht="15">
      <c r="A42" s="2" t="s">
        <v>175</v>
      </c>
      <c r="B42" s="5"/>
      <c r="C42" s="5"/>
      <c r="D42" s="5"/>
      <c r="E42" s="5"/>
      <c r="F42" s="5"/>
      <c r="G42" s="5"/>
      <c r="H42" s="131">
        <v>-5208</v>
      </c>
      <c r="I42" s="131"/>
      <c r="J42" s="131">
        <v>-27945</v>
      </c>
    </row>
    <row r="43" spans="1:10" ht="15">
      <c r="A43" s="2" t="s">
        <v>357</v>
      </c>
      <c r="B43" s="5"/>
      <c r="C43" s="5"/>
      <c r="D43" s="5"/>
      <c r="E43" s="5"/>
      <c r="F43" s="5"/>
      <c r="G43" s="5"/>
      <c r="H43" s="131">
        <f>-13615-3013</f>
        <v>-16628</v>
      </c>
      <c r="I43" s="131"/>
      <c r="J43" s="131">
        <v>-220</v>
      </c>
    </row>
    <row r="44" spans="1:10" ht="15">
      <c r="A44" s="8" t="s">
        <v>103</v>
      </c>
      <c r="B44" s="5"/>
      <c r="C44" s="5"/>
      <c r="D44" s="5"/>
      <c r="E44" s="5"/>
      <c r="F44" s="5"/>
      <c r="G44" s="5"/>
      <c r="H44" s="130">
        <f>SUM(H34:H43)</f>
        <v>-369099</v>
      </c>
      <c r="I44" s="131"/>
      <c r="J44" s="130">
        <f>SUM(J34:J43)</f>
        <v>-551989</v>
      </c>
    </row>
    <row r="45" spans="1:10" ht="3" customHeight="1">
      <c r="A45" s="69"/>
      <c r="B45" s="69"/>
      <c r="C45" s="69"/>
      <c r="D45" s="69"/>
      <c r="E45" s="69"/>
      <c r="F45" s="69"/>
      <c r="G45" s="69"/>
      <c r="H45" s="86"/>
      <c r="I45" s="86"/>
      <c r="J45" s="86"/>
    </row>
    <row r="46" spans="1:10" ht="15">
      <c r="A46" s="2" t="s">
        <v>416</v>
      </c>
      <c r="H46" s="85">
        <f>+H44+H31+H15</f>
        <v>313964</v>
      </c>
      <c r="I46" s="85"/>
      <c r="J46" s="85">
        <f>+J44+J31+J15</f>
        <v>-101</v>
      </c>
    </row>
    <row r="47" spans="1:10" ht="15">
      <c r="A47" s="100" t="s">
        <v>218</v>
      </c>
      <c r="H47" s="85">
        <v>343574</v>
      </c>
      <c r="I47" s="85"/>
      <c r="J47" s="85">
        <v>343372</v>
      </c>
    </row>
    <row r="48" spans="1:10" ht="15">
      <c r="A48" s="132" t="s">
        <v>115</v>
      </c>
      <c r="B48" s="6"/>
      <c r="C48" s="6"/>
      <c r="D48" s="6"/>
      <c r="E48" s="6"/>
      <c r="F48" s="6"/>
      <c r="G48" s="6"/>
      <c r="H48" s="86">
        <v>-200</v>
      </c>
      <c r="I48" s="86"/>
      <c r="J48" s="86">
        <v>303</v>
      </c>
    </row>
    <row r="49" spans="1:10" ht="15.75" thickBot="1">
      <c r="A49" s="102" t="s">
        <v>371</v>
      </c>
      <c r="B49" s="10"/>
      <c r="C49" s="10"/>
      <c r="D49" s="10"/>
      <c r="E49" s="10"/>
      <c r="F49" s="10"/>
      <c r="G49" s="10"/>
      <c r="H49" s="87">
        <f>SUM(H46:H48)</f>
        <v>657338</v>
      </c>
      <c r="I49" s="87"/>
      <c r="J49" s="87">
        <f>SUM(J46:J48)</f>
        <v>343574</v>
      </c>
    </row>
    <row r="50" spans="8:10" ht="3" customHeight="1">
      <c r="H50" s="85"/>
      <c r="I50" s="85"/>
      <c r="J50" s="85"/>
    </row>
    <row r="51" spans="8:10" ht="15">
      <c r="H51" s="12" t="str">
        <f>+H6</f>
        <v>12-month ended</v>
      </c>
      <c r="I51" s="12"/>
      <c r="J51" s="12" t="str">
        <f>+J6</f>
        <v>12-month ended</v>
      </c>
    </row>
    <row r="52" spans="8:10" ht="15">
      <c r="H52" s="12" t="str">
        <f>+H7</f>
        <v>30-4-2006</v>
      </c>
      <c r="I52" s="12"/>
      <c r="J52" s="12" t="str">
        <f>+J7</f>
        <v>30-4-2005</v>
      </c>
    </row>
    <row r="53" spans="8:10" ht="15.75" thickBot="1">
      <c r="H53" s="1" t="s">
        <v>19</v>
      </c>
      <c r="I53" s="1"/>
      <c r="J53" s="1" t="s">
        <v>19</v>
      </c>
    </row>
    <row r="54" spans="1:9" ht="15">
      <c r="A54" s="2" t="s">
        <v>116</v>
      </c>
      <c r="H54" s="67"/>
      <c r="I54" s="67"/>
    </row>
    <row r="55" spans="1:8" ht="15">
      <c r="A55" s="2" t="s">
        <v>186</v>
      </c>
      <c r="H55" s="67"/>
    </row>
    <row r="56" spans="2:10" ht="15">
      <c r="B56" s="2" t="s">
        <v>99</v>
      </c>
      <c r="H56" s="72">
        <v>31239</v>
      </c>
      <c r="I56" s="72"/>
      <c r="J56" s="72">
        <v>20392</v>
      </c>
    </row>
    <row r="57" spans="2:11" ht="15">
      <c r="B57" s="2" t="s">
        <v>110</v>
      </c>
      <c r="H57" s="72">
        <v>626099</v>
      </c>
      <c r="I57" s="72"/>
      <c r="J57" s="72">
        <v>323182</v>
      </c>
      <c r="K57" s="72"/>
    </row>
    <row r="58" spans="8:10" ht="14.25" customHeight="1" thickBot="1">
      <c r="H58" s="106">
        <f>+H56+H57</f>
        <v>657338</v>
      </c>
      <c r="I58" s="106"/>
      <c r="J58" s="106">
        <f>+J56+J57</f>
        <v>343574</v>
      </c>
    </row>
    <row r="59" ht="3.75" customHeight="1" thickTop="1">
      <c r="J59" s="72"/>
    </row>
    <row r="60" spans="1:10" ht="15">
      <c r="A60" s="5" t="s">
        <v>223</v>
      </c>
      <c r="J60" s="27"/>
    </row>
  </sheetData>
  <printOptions/>
  <pageMargins left="0.75" right="0.49" top="0.86" bottom="0.81" header="0.5" footer="0.5"/>
  <pageSetup horizontalDpi="600" verticalDpi="600" orientation="portrait" paperSize="9" scale="90" r:id="rId1"/>
  <headerFooter alignWithMargins="0">
    <oddHeader>&amp;R&amp;"Arial,Bold"Berjaya Sports Toto Berhad&amp;U
&amp;9&amp;U(&amp;"Arial,Regular"Company No. 9109-K)
Quarterly Report 30-4-2006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09"/>
  <sheetViews>
    <sheetView showGridLines="0" workbookViewId="0" topLeftCell="A76">
      <selection activeCell="K86" sqref="K86"/>
    </sheetView>
  </sheetViews>
  <sheetFormatPr defaultColWidth="9.140625" defaultRowHeight="12.75"/>
  <cols>
    <col min="1" max="1" width="4.57421875" style="55" customWidth="1"/>
    <col min="2" max="2" width="4.28125" style="55" customWidth="1"/>
    <col min="3" max="3" width="10.28125" style="39" customWidth="1"/>
    <col min="4" max="4" width="8.7109375" style="39" customWidth="1"/>
    <col min="5" max="5" width="9.28125" style="39" customWidth="1"/>
    <col min="6" max="6" width="8.421875" style="39" customWidth="1"/>
    <col min="7" max="7" width="7.7109375" style="39" customWidth="1"/>
    <col min="8" max="8" width="12.140625" style="39" customWidth="1"/>
    <col min="9" max="9" width="11.8515625" style="39" customWidth="1"/>
    <col min="10" max="10" width="9.28125" style="39" customWidth="1"/>
    <col min="11" max="11" width="10.00390625" style="39" customWidth="1"/>
    <col min="12" max="12" width="0.2890625" style="39" hidden="1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0.42578125" style="39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6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>
      <c r="A3" s="5" t="str">
        <f>PL!A5</f>
        <v>UNAUDITED QUARTERLY FINANCIAL REPORT FOR THE YEAR ENDED 30 APRIL 2006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" ht="14.25" customHeight="1">
      <c r="A4" s="53" t="s">
        <v>224</v>
      </c>
      <c r="C4" s="55"/>
      <c r="D4" s="55"/>
    </row>
    <row r="5" spans="1:4" ht="8.25" customHeight="1">
      <c r="A5" s="53"/>
      <c r="C5" s="55"/>
      <c r="D5" s="55"/>
    </row>
    <row r="6" spans="1:4" ht="15">
      <c r="A6" s="55" t="s">
        <v>48</v>
      </c>
      <c r="B6" s="55" t="s">
        <v>198</v>
      </c>
      <c r="C6" s="55"/>
      <c r="D6" s="55"/>
    </row>
    <row r="7" ht="15">
      <c r="B7" s="55" t="s">
        <v>206</v>
      </c>
    </row>
    <row r="8" spans="3:4" ht="9" customHeight="1">
      <c r="C8" s="55"/>
      <c r="D8" s="55"/>
    </row>
    <row r="9" spans="2:4" ht="15">
      <c r="B9" s="55" t="s">
        <v>199</v>
      </c>
      <c r="C9" s="55"/>
      <c r="D9" s="55"/>
    </row>
    <row r="10" ht="15">
      <c r="B10" s="55" t="s">
        <v>244</v>
      </c>
    </row>
    <row r="11" spans="3:4" ht="9" customHeight="1">
      <c r="C11" s="55"/>
      <c r="D11" s="55"/>
    </row>
    <row r="12" spans="2:4" ht="15">
      <c r="B12" s="146" t="s">
        <v>46</v>
      </c>
      <c r="C12" s="55"/>
      <c r="D12" s="55"/>
    </row>
    <row r="13" spans="2:3" ht="15">
      <c r="B13" s="55" t="s">
        <v>245</v>
      </c>
      <c r="C13" s="55"/>
    </row>
    <row r="14" spans="2:4" ht="15">
      <c r="B14" s="55" t="s">
        <v>220</v>
      </c>
      <c r="C14" s="55"/>
      <c r="D14" s="55"/>
    </row>
    <row r="15" ht="13.5" customHeight="1">
      <c r="D15" s="55"/>
    </row>
    <row r="16" spans="1:4" ht="15">
      <c r="A16" s="55" t="s">
        <v>49</v>
      </c>
      <c r="B16" s="55" t="s">
        <v>180</v>
      </c>
      <c r="C16" s="55"/>
      <c r="D16" s="55"/>
    </row>
    <row r="17" spans="2:4" ht="15">
      <c r="B17" s="55" t="s">
        <v>45</v>
      </c>
      <c r="C17" s="55"/>
      <c r="D17" s="55"/>
    </row>
    <row r="18" ht="11.25" customHeight="1"/>
    <row r="19" spans="1:4" ht="15">
      <c r="A19" s="55" t="s">
        <v>50</v>
      </c>
      <c r="B19" s="55" t="s">
        <v>101</v>
      </c>
      <c r="C19" s="55"/>
      <c r="D19" s="55"/>
    </row>
    <row r="20" ht="15">
      <c r="B20" s="55" t="s">
        <v>151</v>
      </c>
    </row>
    <row r="21" ht="11.25" customHeight="1"/>
    <row r="22" spans="1:4" ht="15">
      <c r="A22" s="55" t="s">
        <v>51</v>
      </c>
      <c r="B22" s="55" t="s">
        <v>200</v>
      </c>
      <c r="C22" s="55"/>
      <c r="D22" s="55"/>
    </row>
    <row r="23" spans="2:3" ht="15">
      <c r="B23" s="55" t="s">
        <v>400</v>
      </c>
      <c r="C23" s="56"/>
    </row>
    <row r="24" ht="15">
      <c r="C24" s="56"/>
    </row>
    <row r="25" spans="2:3" ht="15">
      <c r="B25" s="55" t="s">
        <v>331</v>
      </c>
      <c r="C25" s="55" t="s">
        <v>401</v>
      </c>
    </row>
    <row r="26" spans="2:3" ht="15">
      <c r="B26" s="146"/>
      <c r="C26" s="146" t="s">
        <v>402</v>
      </c>
    </row>
    <row r="27" ht="15" customHeight="1">
      <c r="C27" s="55" t="s">
        <v>405</v>
      </c>
    </row>
    <row r="28" ht="15" customHeight="1">
      <c r="C28" s="55" t="s">
        <v>403</v>
      </c>
    </row>
    <row r="29" ht="15" customHeight="1">
      <c r="C29" s="55"/>
    </row>
    <row r="30" spans="2:3" ht="15" customHeight="1">
      <c r="B30" s="55" t="s">
        <v>332</v>
      </c>
      <c r="C30" s="55" t="s">
        <v>404</v>
      </c>
    </row>
    <row r="31" ht="15" customHeight="1">
      <c r="C31" s="55" t="s">
        <v>406</v>
      </c>
    </row>
    <row r="32" ht="15" customHeight="1">
      <c r="C32" s="55"/>
    </row>
    <row r="33" spans="2:3" ht="15" customHeight="1">
      <c r="B33" s="55" t="s">
        <v>407</v>
      </c>
      <c r="C33" s="56"/>
    </row>
    <row r="34" spans="2:3" ht="15" customHeight="1">
      <c r="B34" s="55" t="s">
        <v>408</v>
      </c>
      <c r="C34" s="56"/>
    </row>
    <row r="35" spans="2:3" ht="15" customHeight="1">
      <c r="B35" s="55" t="s">
        <v>489</v>
      </c>
      <c r="C35" s="56"/>
    </row>
    <row r="36" ht="10.5" customHeight="1">
      <c r="C36" s="56"/>
    </row>
    <row r="37" spans="2:3" ht="15">
      <c r="B37" s="55" t="s">
        <v>221</v>
      </c>
      <c r="C37" s="56"/>
    </row>
    <row r="38" spans="2:3" ht="15">
      <c r="B38" s="55" t="s">
        <v>373</v>
      </c>
      <c r="C38" s="56"/>
    </row>
    <row r="39" ht="12" customHeight="1">
      <c r="C39" s="56"/>
    </row>
    <row r="40" spans="1:11" ht="15">
      <c r="A40" s="55" t="s">
        <v>52</v>
      </c>
      <c r="B40" s="146" t="s">
        <v>409</v>
      </c>
      <c r="C40" s="172"/>
      <c r="D40" s="149"/>
      <c r="E40" s="149"/>
      <c r="F40" s="149"/>
      <c r="G40" s="149"/>
      <c r="H40" s="149"/>
      <c r="I40" s="149"/>
      <c r="J40" s="149"/>
      <c r="K40" s="149"/>
    </row>
    <row r="41" spans="2:11" ht="15">
      <c r="B41" s="146" t="s">
        <v>410</v>
      </c>
      <c r="C41" s="190"/>
      <c r="D41" s="190"/>
      <c r="E41" s="149"/>
      <c r="F41" s="149"/>
      <c r="G41" s="149"/>
      <c r="H41" s="149"/>
      <c r="I41" s="149"/>
      <c r="J41" s="149"/>
      <c r="K41" s="149"/>
    </row>
    <row r="42" spans="2:11" ht="15">
      <c r="B42" s="146" t="s">
        <v>460</v>
      </c>
      <c r="C42" s="190"/>
      <c r="D42" s="190"/>
      <c r="E42" s="149"/>
      <c r="F42" s="149"/>
      <c r="G42" s="149"/>
      <c r="H42" s="149"/>
      <c r="I42" s="149"/>
      <c r="J42" s="149"/>
      <c r="K42" s="149"/>
    </row>
    <row r="43" spans="2:11" ht="15">
      <c r="B43" s="146" t="s">
        <v>461</v>
      </c>
      <c r="C43" s="190"/>
      <c r="D43" s="190"/>
      <c r="E43" s="149"/>
      <c r="F43" s="149"/>
      <c r="G43" s="149"/>
      <c r="H43" s="149"/>
      <c r="I43" s="149"/>
      <c r="J43" s="149"/>
      <c r="K43" s="149"/>
    </row>
    <row r="44" spans="3:4" ht="8.25" customHeight="1">
      <c r="C44" s="57"/>
      <c r="D44" s="57"/>
    </row>
    <row r="45" ht="15">
      <c r="B45" s="55" t="s">
        <v>117</v>
      </c>
    </row>
    <row r="46" ht="4.5" customHeight="1"/>
    <row r="47" spans="2:10" ht="15">
      <c r="B47" s="108"/>
      <c r="C47" s="109"/>
      <c r="D47" s="210" t="s">
        <v>119</v>
      </c>
      <c r="E47" s="211"/>
      <c r="F47" s="211"/>
      <c r="G47" s="118"/>
      <c r="H47" s="119"/>
      <c r="I47" s="205" t="s">
        <v>124</v>
      </c>
      <c r="J47" s="206"/>
    </row>
    <row r="48" spans="2:10" ht="15">
      <c r="B48" s="114" t="s">
        <v>118</v>
      </c>
      <c r="C48" s="44"/>
      <c r="D48" s="115" t="s">
        <v>120</v>
      </c>
      <c r="E48" s="117" t="s">
        <v>121</v>
      </c>
      <c r="F48" s="44" t="s">
        <v>122</v>
      </c>
      <c r="G48" s="209" t="s">
        <v>123</v>
      </c>
      <c r="H48" s="208"/>
      <c r="I48" s="207" t="s">
        <v>19</v>
      </c>
      <c r="J48" s="208"/>
    </row>
    <row r="49" spans="2:10" ht="15">
      <c r="B49" s="111" t="s">
        <v>246</v>
      </c>
      <c r="C49" s="65"/>
      <c r="D49" s="161">
        <v>4.17</v>
      </c>
      <c r="E49" s="162">
        <v>4.19</v>
      </c>
      <c r="F49" s="163">
        <v>4.19</v>
      </c>
      <c r="G49" s="138"/>
      <c r="H49" s="139">
        <f>250000+1000000+1150000+1500000</f>
        <v>3900000</v>
      </c>
      <c r="I49" s="140"/>
      <c r="J49" s="139">
        <f>1048+4194+4815+6304</f>
        <v>16361</v>
      </c>
    </row>
    <row r="50" spans="2:10" ht="15">
      <c r="B50" s="111" t="s">
        <v>247</v>
      </c>
      <c r="C50" s="65"/>
      <c r="D50" s="161">
        <v>4.27</v>
      </c>
      <c r="E50" s="162">
        <v>4.36</v>
      </c>
      <c r="F50" s="163">
        <f>+J50/(H50/1000)</f>
        <v>4.3332</v>
      </c>
      <c r="G50" s="115"/>
      <c r="H50" s="44">
        <f>1200000+1300000</f>
        <v>2500000</v>
      </c>
      <c r="I50" s="115"/>
      <c r="J50" s="113">
        <f>5145+5688</f>
        <v>10833</v>
      </c>
    </row>
    <row r="51" spans="2:10" ht="15">
      <c r="B51" s="111"/>
      <c r="C51" s="65"/>
      <c r="D51" s="161"/>
      <c r="E51" s="162"/>
      <c r="F51" s="163"/>
      <c r="G51" s="116"/>
      <c r="H51" s="65">
        <f>+H49+H50</f>
        <v>6400000</v>
      </c>
      <c r="I51" s="116"/>
      <c r="J51" s="112">
        <f>+J49+J50</f>
        <v>27194</v>
      </c>
    </row>
    <row r="52" spans="2:10" ht="15">
      <c r="B52" s="111" t="s">
        <v>292</v>
      </c>
      <c r="C52" s="65"/>
      <c r="D52" s="161">
        <v>4.11</v>
      </c>
      <c r="E52" s="162">
        <v>4.12</v>
      </c>
      <c r="F52" s="163">
        <f>+J52/(H52/1000)-0.01</f>
        <v>4.121261365514962</v>
      </c>
      <c r="G52" s="116"/>
      <c r="H52" s="112">
        <f>400000+204900</f>
        <v>604900</v>
      </c>
      <c r="I52" s="116"/>
      <c r="J52" s="112">
        <f>1654+846-1</f>
        <v>2499</v>
      </c>
    </row>
    <row r="53" spans="2:10" ht="15">
      <c r="B53" s="111" t="s">
        <v>325</v>
      </c>
      <c r="C53" s="65"/>
      <c r="D53" s="161">
        <v>4.25</v>
      </c>
      <c r="E53" s="162">
        <v>4.33</v>
      </c>
      <c r="F53" s="163">
        <f>+J53/(H53/1000)</f>
        <v>4.307028027294807</v>
      </c>
      <c r="G53" s="116"/>
      <c r="H53" s="65">
        <f>400000+300000+245100+305000+300000+658000+385800</f>
        <v>2593900</v>
      </c>
      <c r="I53" s="116"/>
      <c r="J53" s="112">
        <f>1706+1295+1059+1316+1302+2837+1657</f>
        <v>11172</v>
      </c>
    </row>
    <row r="54" spans="2:10" ht="15">
      <c r="B54" s="111" t="s">
        <v>326</v>
      </c>
      <c r="C54" s="65"/>
      <c r="D54" s="161">
        <v>4.23</v>
      </c>
      <c r="E54" s="162">
        <v>4.5</v>
      </c>
      <c r="F54" s="163">
        <f>+J54/(H54/1000)</f>
        <v>4.387955634523233</v>
      </c>
      <c r="G54" s="116"/>
      <c r="H54" s="65">
        <f>935000+571400+445000+410400+164200+150000+260000+100000+100000+257300+157900+250000+500000+500000+330000+500000+200000+388300+374000+407700+428000</f>
        <v>7429200</v>
      </c>
      <c r="I54" s="116"/>
      <c r="J54" s="112">
        <f>3994+2427+1895+1756+712+647+1122+446+445+1146+702+1107+2212+2207+1476+2230+895+1754+1676+1831+1919</f>
        <v>32599</v>
      </c>
    </row>
    <row r="55" spans="2:10" ht="15">
      <c r="B55" s="111" t="s">
        <v>327</v>
      </c>
      <c r="C55" s="65"/>
      <c r="D55" s="161">
        <v>4.42</v>
      </c>
      <c r="E55" s="162">
        <v>4.58</v>
      </c>
      <c r="F55" s="163">
        <f>+J55/(H55/1000)</f>
        <v>4.494631185807656</v>
      </c>
      <c r="G55" s="115"/>
      <c r="H55" s="44">
        <f>658700+219700+234100+60500+335000+205600</f>
        <v>1713600</v>
      </c>
      <c r="I55" s="115"/>
      <c r="J55" s="113">
        <f>2920+981+1045+274+1539+943</f>
        <v>7702</v>
      </c>
    </row>
    <row r="56" spans="2:10" ht="15">
      <c r="B56" s="123" t="s">
        <v>126</v>
      </c>
      <c r="C56" s="44"/>
      <c r="D56" s="120"/>
      <c r="E56" s="121"/>
      <c r="F56" s="122"/>
      <c r="G56" s="115"/>
      <c r="H56" s="113">
        <f>SUM(H51:H55)</f>
        <v>18741600</v>
      </c>
      <c r="I56" s="44"/>
      <c r="J56" s="113">
        <f>SUM(J51:J55)</f>
        <v>81166</v>
      </c>
    </row>
    <row r="57" spans="1:2" ht="9.75" customHeight="1">
      <c r="A57" s="39"/>
      <c r="B57" s="39"/>
    </row>
    <row r="58" spans="1:2" ht="15" customHeight="1">
      <c r="A58" s="39"/>
      <c r="B58" s="39"/>
    </row>
    <row r="59" spans="1:2" ht="15" customHeight="1">
      <c r="A59" s="39"/>
      <c r="B59" s="39"/>
    </row>
    <row r="60" spans="1:2" ht="15" customHeight="1">
      <c r="A60" s="39"/>
      <c r="B60" s="39"/>
    </row>
    <row r="61" spans="1:2" ht="15" customHeight="1">
      <c r="A61" s="39"/>
      <c r="B61" s="39"/>
    </row>
    <row r="62" spans="1:2" ht="12.75" customHeight="1">
      <c r="A62" s="39"/>
      <c r="B62" s="39"/>
    </row>
    <row r="63" spans="1:2" ht="15" customHeight="1">
      <c r="A63" s="55" t="s">
        <v>52</v>
      </c>
      <c r="B63" s="55" t="s">
        <v>375</v>
      </c>
    </row>
    <row r="64" ht="3.75" customHeight="1">
      <c r="A64" s="39"/>
    </row>
    <row r="65" spans="2:10" ht="15" customHeight="1">
      <c r="B65" s="108"/>
      <c r="C65" s="109"/>
      <c r="D65" s="109"/>
      <c r="E65" s="109"/>
      <c r="F65" s="109"/>
      <c r="G65" s="118"/>
      <c r="H65" s="119"/>
      <c r="I65" s="205" t="s">
        <v>125</v>
      </c>
      <c r="J65" s="206"/>
    </row>
    <row r="66" spans="2:10" ht="15" customHeight="1">
      <c r="B66" s="114"/>
      <c r="C66" s="44"/>
      <c r="D66" s="44"/>
      <c r="E66" s="44"/>
      <c r="F66" s="44"/>
      <c r="G66" s="209" t="s">
        <v>123</v>
      </c>
      <c r="H66" s="208"/>
      <c r="I66" s="207" t="s">
        <v>19</v>
      </c>
      <c r="J66" s="208"/>
    </row>
    <row r="67" spans="2:10" ht="15" customHeight="1">
      <c r="B67" s="110" t="s">
        <v>248</v>
      </c>
      <c r="C67" s="65"/>
      <c r="D67" s="65"/>
      <c r="E67" s="65"/>
      <c r="F67" s="65"/>
      <c r="G67" s="116"/>
      <c r="H67" s="112">
        <v>78600000</v>
      </c>
      <c r="I67" s="65"/>
      <c r="J67" s="112">
        <v>373568</v>
      </c>
    </row>
    <row r="68" spans="2:10" ht="15" customHeight="1">
      <c r="B68" s="110" t="s">
        <v>308</v>
      </c>
      <c r="C68" s="65"/>
      <c r="D68" s="65"/>
      <c r="E68" s="65"/>
      <c r="F68" s="65"/>
      <c r="G68" s="116"/>
      <c r="H68" s="112"/>
      <c r="I68" s="65"/>
      <c r="J68" s="112"/>
    </row>
    <row r="69" spans="2:10" ht="15" customHeight="1">
      <c r="B69" s="110" t="s">
        <v>471</v>
      </c>
      <c r="C69" s="65"/>
      <c r="D69" s="65"/>
      <c r="E69" s="65"/>
      <c r="F69" s="65"/>
      <c r="G69" s="116"/>
      <c r="H69" s="112">
        <f>+H51</f>
        <v>6400000</v>
      </c>
      <c r="I69" s="65"/>
      <c r="J69" s="112">
        <f>+J51</f>
        <v>27194</v>
      </c>
    </row>
    <row r="70" spans="2:10" ht="15" customHeight="1">
      <c r="B70" s="110" t="s">
        <v>425</v>
      </c>
      <c r="C70" s="65"/>
      <c r="D70" s="65"/>
      <c r="E70" s="65"/>
      <c r="F70" s="65"/>
      <c r="G70" s="116"/>
      <c r="H70" s="112"/>
      <c r="I70" s="65"/>
      <c r="J70" s="112"/>
    </row>
    <row r="71" spans="2:10" ht="15" customHeight="1">
      <c r="B71" s="110" t="s">
        <v>426</v>
      </c>
      <c r="C71" s="65"/>
      <c r="D71" s="65"/>
      <c r="E71" s="65"/>
      <c r="F71" s="65"/>
      <c r="G71" s="116"/>
      <c r="H71" s="112"/>
      <c r="I71" s="65"/>
      <c r="J71" s="112"/>
    </row>
    <row r="72" spans="2:10" ht="15" customHeight="1">
      <c r="B72" s="110" t="s">
        <v>472</v>
      </c>
      <c r="C72" s="65"/>
      <c r="D72" s="65"/>
      <c r="E72" s="65"/>
      <c r="F72" s="65"/>
      <c r="G72" s="115"/>
      <c r="H72" s="113">
        <v>0</v>
      </c>
      <c r="I72" s="44"/>
      <c r="J72" s="113">
        <f>-85000*0.5</f>
        <v>-42500</v>
      </c>
    </row>
    <row r="73" spans="2:10" ht="15" customHeight="1">
      <c r="B73" s="110" t="s">
        <v>309</v>
      </c>
      <c r="C73" s="65"/>
      <c r="D73" s="65"/>
      <c r="E73" s="65"/>
      <c r="F73" s="65"/>
      <c r="G73" s="116"/>
      <c r="H73" s="112">
        <f>+H67+H69</f>
        <v>85000000</v>
      </c>
      <c r="I73" s="65"/>
      <c r="J73" s="112">
        <f>SUM(J67:J72)</f>
        <v>358262</v>
      </c>
    </row>
    <row r="74" spans="2:10" ht="15" customHeight="1">
      <c r="B74" s="110" t="s">
        <v>308</v>
      </c>
      <c r="C74" s="65"/>
      <c r="D74" s="65"/>
      <c r="E74" s="65"/>
      <c r="F74" s="65"/>
      <c r="G74" s="116"/>
      <c r="H74" s="112"/>
      <c r="I74" s="65"/>
      <c r="J74" s="112"/>
    </row>
    <row r="75" spans="2:10" ht="15" customHeight="1">
      <c r="B75" s="116" t="s">
        <v>473</v>
      </c>
      <c r="G75" s="116"/>
      <c r="H75" s="112">
        <f>SUM(H52:H55)</f>
        <v>12341600</v>
      </c>
      <c r="I75" s="116"/>
      <c r="J75" s="112">
        <f>SUM(J52:J55)</f>
        <v>53972</v>
      </c>
    </row>
    <row r="76" spans="2:10" ht="15" customHeight="1">
      <c r="B76" s="110" t="s">
        <v>374</v>
      </c>
      <c r="G76" s="116"/>
      <c r="H76" s="112"/>
      <c r="I76" s="65"/>
      <c r="J76" s="112"/>
    </row>
    <row r="77" spans="2:10" ht="15" customHeight="1">
      <c r="B77" s="116" t="s">
        <v>473</v>
      </c>
      <c r="G77" s="115"/>
      <c r="H77" s="113">
        <v>-41041600</v>
      </c>
      <c r="I77" s="44"/>
      <c r="J77" s="113">
        <f>ROUND((H77*4.2349/1000),0)</f>
        <v>-173807</v>
      </c>
    </row>
    <row r="78" spans="2:10" ht="15" customHeight="1">
      <c r="B78" s="114" t="s">
        <v>397</v>
      </c>
      <c r="C78" s="44"/>
      <c r="D78" s="44"/>
      <c r="E78" s="44"/>
      <c r="F78" s="44"/>
      <c r="G78" s="115"/>
      <c r="H78" s="113">
        <f>+H73+H75+H77</f>
        <v>56300000</v>
      </c>
      <c r="I78" s="44"/>
      <c r="J78" s="113">
        <f>+J73+J75+J77</f>
        <v>238427</v>
      </c>
    </row>
    <row r="79" ht="12" customHeight="1"/>
    <row r="80" ht="15" customHeight="1">
      <c r="B80" s="55" t="s">
        <v>462</v>
      </c>
    </row>
    <row r="81" ht="15" customHeight="1">
      <c r="B81" s="55" t="s">
        <v>428</v>
      </c>
    </row>
    <row r="82" ht="15" customHeight="1">
      <c r="B82" s="55" t="s">
        <v>427</v>
      </c>
    </row>
    <row r="83" ht="15" customHeight="1">
      <c r="B83" s="55" t="s">
        <v>353</v>
      </c>
    </row>
    <row r="84" ht="15" customHeight="1">
      <c r="B84" s="55" t="s">
        <v>463</v>
      </c>
    </row>
    <row r="85" ht="15" customHeight="1">
      <c r="B85" s="55" t="s">
        <v>464</v>
      </c>
    </row>
    <row r="86" ht="15" customHeight="1">
      <c r="B86" s="55" t="s">
        <v>465</v>
      </c>
    </row>
    <row r="87" ht="13.5" customHeight="1"/>
    <row r="88" spans="2:11" ht="15" customHeight="1">
      <c r="B88" s="146" t="s">
        <v>492</v>
      </c>
      <c r="C88" s="149"/>
      <c r="D88" s="149"/>
      <c r="E88" s="149"/>
      <c r="F88" s="149"/>
      <c r="G88" s="149"/>
      <c r="H88" s="149"/>
      <c r="I88" s="149"/>
      <c r="J88" s="149"/>
      <c r="K88" s="149"/>
    </row>
    <row r="89" spans="2:11" ht="15" customHeight="1">
      <c r="B89" s="146" t="s">
        <v>493</v>
      </c>
      <c r="C89" s="149"/>
      <c r="D89" s="149"/>
      <c r="E89" s="149"/>
      <c r="F89" s="149"/>
      <c r="G89" s="149"/>
      <c r="H89" s="149"/>
      <c r="I89" s="149"/>
      <c r="J89" s="149"/>
      <c r="K89" s="149"/>
    </row>
    <row r="90" spans="2:11" ht="15" customHeight="1">
      <c r="B90" s="146" t="s">
        <v>494</v>
      </c>
      <c r="C90" s="149"/>
      <c r="D90" s="149"/>
      <c r="E90" s="149"/>
      <c r="F90" s="149"/>
      <c r="G90" s="149"/>
      <c r="H90" s="149"/>
      <c r="I90" s="149"/>
      <c r="J90" s="149"/>
      <c r="K90" s="149"/>
    </row>
    <row r="91" ht="13.5" customHeight="1"/>
    <row r="92" spans="1:2" ht="15" customHeight="1">
      <c r="A92" s="39"/>
      <c r="B92" s="55" t="s">
        <v>376</v>
      </c>
    </row>
    <row r="93" ht="15" customHeight="1">
      <c r="B93" s="55" t="s">
        <v>377</v>
      </c>
    </row>
    <row r="94" ht="15" customHeight="1">
      <c r="B94" s="55" t="s">
        <v>328</v>
      </c>
    </row>
    <row r="95" ht="12" customHeight="1"/>
    <row r="96" spans="2:10" ht="15" customHeight="1">
      <c r="B96" s="55" t="s">
        <v>378</v>
      </c>
      <c r="J96" s="65"/>
    </row>
    <row r="97" spans="2:10" ht="15" customHeight="1">
      <c r="B97" s="55" t="s">
        <v>329</v>
      </c>
      <c r="J97" s="65"/>
    </row>
    <row r="98" spans="2:10" ht="15" customHeight="1">
      <c r="B98" s="55" t="s">
        <v>330</v>
      </c>
      <c r="J98" s="65"/>
    </row>
    <row r="99" ht="6" customHeight="1">
      <c r="J99" s="65"/>
    </row>
    <row r="100" ht="15" customHeight="1">
      <c r="I100" s="52" t="s">
        <v>185</v>
      </c>
    </row>
    <row r="101" spans="8:9" ht="15" customHeight="1">
      <c r="H101" s="52" t="s">
        <v>182</v>
      </c>
      <c r="I101" s="52" t="s">
        <v>181</v>
      </c>
    </row>
    <row r="102" spans="8:10" ht="15" customHeight="1">
      <c r="H102" s="52" t="s">
        <v>176</v>
      </c>
      <c r="I102" s="52" t="s">
        <v>424</v>
      </c>
      <c r="J102" s="52" t="s">
        <v>37</v>
      </c>
    </row>
    <row r="103" spans="8:10" ht="15" customHeight="1">
      <c r="H103" s="52" t="s">
        <v>19</v>
      </c>
      <c r="I103" s="52" t="s">
        <v>19</v>
      </c>
      <c r="J103" s="52" t="s">
        <v>19</v>
      </c>
    </row>
    <row r="104" spans="3:10" ht="15" customHeight="1">
      <c r="C104" s="55" t="s">
        <v>248</v>
      </c>
      <c r="H104" s="39">
        <v>52296</v>
      </c>
      <c r="I104" s="39">
        <v>18394</v>
      </c>
      <c r="J104" s="39">
        <f>+H104+I104</f>
        <v>70690</v>
      </c>
    </row>
    <row r="105" spans="3:10" ht="15" customHeight="1">
      <c r="C105" s="55" t="s">
        <v>183</v>
      </c>
      <c r="H105" s="154">
        <f>-(166900+533500+111105+223250+9704302+375881+232848+193485+158471+49850+8583800+2226168+25487195+6834113+4354532+831694+835415+69772758+323200+163545+240354+17858+137677+960100+22859+1350+10800+550501+1156821+2000+5449+5140117)/1000*0.4632+1</f>
        <v>-64572.73835359999</v>
      </c>
      <c r="I105" s="154">
        <f>-(166900+533500+111105+223250+9704302+375881+232848+193485+158471+49850+8583800+2226168+25487195+6834113+4354532+831694+835415+69772758+323200+163545+240354+17858+137677+960100+22859+1350+10800+550501+1156821+2000+5449+5140117)/1000*0.5368-1</f>
        <v>-74835.1596464</v>
      </c>
      <c r="J105" s="154">
        <f>+H105+I105</f>
        <v>-139407.898</v>
      </c>
    </row>
    <row r="106" spans="3:10" ht="15" customHeight="1">
      <c r="C106" s="55" t="s">
        <v>274</v>
      </c>
      <c r="H106" s="154">
        <v>-637</v>
      </c>
      <c r="I106" s="154">
        <f>-738-1</f>
        <v>-739</v>
      </c>
      <c r="J106" s="154">
        <f>+H106+I106</f>
        <v>-1376</v>
      </c>
    </row>
    <row r="107" spans="3:10" ht="15" customHeight="1">
      <c r="C107" s="55" t="s">
        <v>272</v>
      </c>
      <c r="H107" s="154"/>
      <c r="I107" s="154"/>
      <c r="J107" s="154"/>
    </row>
    <row r="108" spans="3:10" ht="15" customHeight="1">
      <c r="C108" s="55" t="s">
        <v>273</v>
      </c>
      <c r="H108" s="154">
        <f>8390+3884+637</f>
        <v>12911</v>
      </c>
      <c r="I108" s="154">
        <f>9723+4501+738</f>
        <v>14962</v>
      </c>
      <c r="J108" s="154">
        <f>+H108+I108</f>
        <v>27873</v>
      </c>
    </row>
    <row r="109" spans="3:10" ht="15" customHeight="1">
      <c r="C109" s="55" t="s">
        <v>307</v>
      </c>
      <c r="H109" s="154"/>
      <c r="I109" s="154"/>
      <c r="J109" s="154"/>
    </row>
    <row r="110" spans="3:10" ht="15" customHeight="1">
      <c r="C110" s="55" t="s">
        <v>306</v>
      </c>
      <c r="H110" s="154">
        <v>0</v>
      </c>
      <c r="I110" s="154">
        <f>7008-2</f>
        <v>7006</v>
      </c>
      <c r="J110" s="154">
        <f>+H110+I110</f>
        <v>7006</v>
      </c>
    </row>
    <row r="111" spans="3:10" ht="15" customHeight="1">
      <c r="C111" s="4" t="s">
        <v>303</v>
      </c>
      <c r="D111" s="2"/>
      <c r="E111" s="4"/>
      <c r="F111" s="4"/>
      <c r="H111" s="154"/>
      <c r="I111" s="154"/>
      <c r="J111" s="154"/>
    </row>
    <row r="112" spans="3:10" ht="15" customHeight="1">
      <c r="C112" s="4" t="s">
        <v>304</v>
      </c>
      <c r="D112" s="2"/>
      <c r="E112" s="4"/>
      <c r="F112" s="4"/>
      <c r="H112" s="154"/>
      <c r="I112" s="154"/>
      <c r="J112" s="154"/>
    </row>
    <row r="113" spans="3:10" ht="15" customHeight="1">
      <c r="C113" s="4" t="s">
        <v>305</v>
      </c>
      <c r="D113" s="2"/>
      <c r="E113" s="4"/>
      <c r="F113" s="4"/>
      <c r="H113" s="154">
        <v>3</v>
      </c>
      <c r="I113" s="154">
        <f>34892+318+2</f>
        <v>35212</v>
      </c>
      <c r="J113" s="154">
        <f>+H113+I113</f>
        <v>35215</v>
      </c>
    </row>
    <row r="114" spans="3:10" ht="15" customHeight="1" thickBot="1">
      <c r="C114" s="55" t="s">
        <v>379</v>
      </c>
      <c r="D114" s="149"/>
      <c r="H114" s="77">
        <f>ROUND(SUM(H104:H113),0)</f>
        <v>0</v>
      </c>
      <c r="I114" s="77">
        <f>ROUND(SUM(I104:I113),0)</f>
        <v>0</v>
      </c>
      <c r="J114" s="77">
        <f>ROUND(SUM(J104:J113),0)</f>
        <v>0</v>
      </c>
    </row>
    <row r="115" spans="3:10" ht="15" customHeight="1" thickTop="1">
      <c r="C115" s="55"/>
      <c r="D115" s="149"/>
      <c r="H115" s="65"/>
      <c r="I115" s="65"/>
      <c r="J115" s="65"/>
    </row>
    <row r="116" spans="3:10" ht="15" customHeight="1">
      <c r="C116" s="55"/>
      <c r="D116" s="149"/>
      <c r="H116" s="65"/>
      <c r="I116" s="65"/>
      <c r="J116" s="65"/>
    </row>
    <row r="117" spans="3:10" ht="15" customHeight="1">
      <c r="C117" s="55"/>
      <c r="D117" s="149"/>
      <c r="H117" s="65"/>
      <c r="I117" s="65"/>
      <c r="J117" s="65"/>
    </row>
    <row r="118" ht="15" customHeight="1"/>
    <row r="119" spans="1:2" ht="15" customHeight="1">
      <c r="A119" s="39"/>
      <c r="B119" s="39"/>
    </row>
    <row r="120" spans="1:4" ht="15" customHeight="1">
      <c r="A120" s="55" t="s">
        <v>53</v>
      </c>
      <c r="B120" s="55" t="s">
        <v>380</v>
      </c>
      <c r="C120" s="55"/>
      <c r="D120" s="55"/>
    </row>
    <row r="121" spans="3:4" ht="6.75" customHeight="1">
      <c r="C121" s="55"/>
      <c r="D121" s="55"/>
    </row>
    <row r="122" spans="2:4" ht="15" customHeight="1">
      <c r="B122" s="55" t="s">
        <v>331</v>
      </c>
      <c r="C122" s="55" t="s">
        <v>317</v>
      </c>
      <c r="D122" s="55"/>
    </row>
    <row r="123" spans="2:4" ht="15" customHeight="1">
      <c r="B123" s="39"/>
      <c r="C123" s="55" t="s">
        <v>318</v>
      </c>
      <c r="D123" s="55"/>
    </row>
    <row r="124" spans="3:4" ht="15" customHeight="1">
      <c r="C124" s="55" t="s">
        <v>319</v>
      </c>
      <c r="D124" s="55"/>
    </row>
    <row r="125" spans="3:4" ht="8.25" customHeight="1">
      <c r="C125" s="55"/>
      <c r="D125" s="55"/>
    </row>
    <row r="126" spans="2:4" ht="15" customHeight="1">
      <c r="B126" s="55" t="s">
        <v>332</v>
      </c>
      <c r="C126" s="55" t="s">
        <v>430</v>
      </c>
      <c r="D126" s="55"/>
    </row>
    <row r="127" spans="2:4" ht="15" customHeight="1">
      <c r="B127" s="39"/>
      <c r="C127" s="55" t="s">
        <v>320</v>
      </c>
      <c r="D127" s="55"/>
    </row>
    <row r="128" spans="3:4" ht="15" customHeight="1">
      <c r="C128" s="146" t="s">
        <v>321</v>
      </c>
      <c r="D128" s="146"/>
    </row>
    <row r="129" spans="3:4" ht="8.25" customHeight="1">
      <c r="C129" s="146"/>
      <c r="D129" s="146"/>
    </row>
    <row r="130" spans="2:4" ht="15" customHeight="1">
      <c r="B130" s="55" t="s">
        <v>333</v>
      </c>
      <c r="C130" s="55" t="s">
        <v>429</v>
      </c>
      <c r="D130" s="55"/>
    </row>
    <row r="131" spans="3:4" ht="15" customHeight="1">
      <c r="C131" s="55" t="s">
        <v>322</v>
      </c>
      <c r="D131" s="55"/>
    </row>
    <row r="132" spans="3:4" ht="15" customHeight="1">
      <c r="C132" s="146" t="s">
        <v>323</v>
      </c>
      <c r="D132" s="146"/>
    </row>
    <row r="133" spans="3:4" ht="15" customHeight="1">
      <c r="C133" s="146"/>
      <c r="D133" s="146"/>
    </row>
    <row r="134" spans="2:4" ht="15" customHeight="1">
      <c r="B134" s="55" t="s">
        <v>381</v>
      </c>
      <c r="C134" s="146" t="s">
        <v>411</v>
      </c>
      <c r="D134" s="146"/>
    </row>
    <row r="135" spans="3:5" ht="15" customHeight="1">
      <c r="C135" s="146" t="s">
        <v>398</v>
      </c>
      <c r="D135" s="146"/>
      <c r="E135" s="149"/>
    </row>
    <row r="136" spans="3:4" ht="15" customHeight="1">
      <c r="C136" s="146" t="s">
        <v>399</v>
      </c>
      <c r="D136" s="146"/>
    </row>
    <row r="137" spans="3:4" ht="15" customHeight="1">
      <c r="C137" s="146"/>
      <c r="D137" s="146"/>
    </row>
    <row r="138" spans="1:8" ht="15" customHeight="1">
      <c r="A138" s="55" t="s">
        <v>54</v>
      </c>
      <c r="B138" s="146" t="s">
        <v>382</v>
      </c>
      <c r="C138" s="55"/>
      <c r="D138" s="55"/>
      <c r="H138" s="149"/>
    </row>
    <row r="139" spans="2:4" ht="11.25" customHeight="1">
      <c r="B139" s="57"/>
      <c r="C139" s="57"/>
      <c r="D139" s="57"/>
    </row>
    <row r="140" spans="2:18" ht="15" customHeight="1">
      <c r="B140" s="104" t="s">
        <v>20</v>
      </c>
      <c r="C140" s="55"/>
      <c r="F140" s="70"/>
      <c r="G140" s="70"/>
      <c r="H140" s="71"/>
      <c r="I140" s="167" t="s">
        <v>79</v>
      </c>
      <c r="J140" s="70" t="s">
        <v>80</v>
      </c>
      <c r="K140" s="70" t="s">
        <v>37</v>
      </c>
      <c r="L140" s="61"/>
      <c r="M140" s="61"/>
      <c r="N140" s="61"/>
      <c r="O140" s="61"/>
      <c r="P140" s="61"/>
      <c r="Q140" s="61"/>
      <c r="R140" s="61"/>
    </row>
    <row r="141" spans="3:18" ht="15" customHeight="1">
      <c r="C141" s="55"/>
      <c r="F141" s="70"/>
      <c r="G141" s="70"/>
      <c r="H141" s="71"/>
      <c r="I141" s="88"/>
      <c r="J141" s="70" t="s">
        <v>81</v>
      </c>
      <c r="K141" s="70"/>
      <c r="L141" s="61"/>
      <c r="M141" s="61"/>
      <c r="N141" s="61"/>
      <c r="O141" s="61"/>
      <c r="P141" s="61"/>
      <c r="Q141" s="61"/>
      <c r="R141" s="61"/>
    </row>
    <row r="142" spans="2:18" ht="15" customHeight="1">
      <c r="B142" s="39"/>
      <c r="C142" s="55"/>
      <c r="D142" s="55"/>
      <c r="I142" s="39" t="s">
        <v>19</v>
      </c>
      <c r="J142" s="39" t="s">
        <v>19</v>
      </c>
      <c r="K142" s="39" t="s">
        <v>19</v>
      </c>
      <c r="N142" s="52"/>
      <c r="Q142" s="52"/>
      <c r="R142" s="52"/>
    </row>
    <row r="143" spans="2:18" ht="15" customHeight="1">
      <c r="B143" s="55" t="s">
        <v>145</v>
      </c>
      <c r="C143" s="55"/>
      <c r="D143" s="55"/>
      <c r="I143" s="65">
        <v>2933942</v>
      </c>
      <c r="J143" s="65">
        <v>0</v>
      </c>
      <c r="K143" s="65">
        <f>SUM(I143:J143)</f>
        <v>2933942</v>
      </c>
      <c r="N143" s="52"/>
      <c r="Q143" s="52"/>
      <c r="R143" s="52"/>
    </row>
    <row r="144" spans="2:18" ht="15" customHeight="1">
      <c r="B144" s="55" t="s">
        <v>148</v>
      </c>
      <c r="C144" s="55"/>
      <c r="D144" s="55"/>
      <c r="E144" s="62"/>
      <c r="F144" s="62"/>
      <c r="G144" s="62"/>
      <c r="H144" s="62"/>
      <c r="I144" s="65">
        <f>3472+908</f>
        <v>4380</v>
      </c>
      <c r="J144" s="154">
        <f>ROUND(14268*0.1332*3.749,0)+1406</f>
        <v>8531</v>
      </c>
      <c r="K144" s="65">
        <f>SUM(I144:J144)</f>
        <v>12911</v>
      </c>
      <c r="N144" s="52"/>
      <c r="Q144" s="52"/>
      <c r="R144" s="52"/>
    </row>
    <row r="145" spans="2:18" ht="15" customHeight="1">
      <c r="B145" s="55" t="s">
        <v>149</v>
      </c>
      <c r="C145" s="55"/>
      <c r="D145" s="55"/>
      <c r="E145" s="62"/>
      <c r="F145" s="62"/>
      <c r="G145" s="62"/>
      <c r="H145" s="62"/>
      <c r="I145" s="65">
        <v>0</v>
      </c>
      <c r="J145" s="154">
        <f>-J144-J143</f>
        <v>-8531</v>
      </c>
      <c r="K145" s="65">
        <f>SUM(I145:J145)</f>
        <v>-8531</v>
      </c>
      <c r="N145" s="52"/>
      <c r="Q145" s="52"/>
      <c r="R145" s="52"/>
    </row>
    <row r="146" spans="2:18" ht="15" customHeight="1" thickBot="1">
      <c r="B146" s="63" t="s">
        <v>47</v>
      </c>
      <c r="C146" s="63"/>
      <c r="D146" s="63"/>
      <c r="F146" s="65"/>
      <c r="G146" s="65"/>
      <c r="H146" s="65"/>
      <c r="I146" s="77">
        <f>SUM(I143:I145)</f>
        <v>2938322</v>
      </c>
      <c r="J146" s="77">
        <f>SUM(J143:J145)</f>
        <v>0</v>
      </c>
      <c r="K146" s="77">
        <f>SUM(K143:K145)</f>
        <v>2938322</v>
      </c>
      <c r="N146" s="52"/>
      <c r="Q146" s="52"/>
      <c r="R146" s="52"/>
    </row>
    <row r="147" spans="3:18" ht="6" customHeight="1" thickTop="1">
      <c r="C147" s="55"/>
      <c r="D147" s="55"/>
      <c r="F147" s="65"/>
      <c r="G147" s="65"/>
      <c r="H147" s="65"/>
      <c r="I147" s="65"/>
      <c r="J147" s="65"/>
      <c r="N147" s="52"/>
      <c r="Q147" s="64"/>
      <c r="R147" s="64"/>
    </row>
    <row r="148" spans="2:4" ht="15" customHeight="1">
      <c r="B148" s="104" t="s">
        <v>104</v>
      </c>
      <c r="C148" s="55"/>
      <c r="D148" s="55"/>
    </row>
    <row r="149" spans="2:18" ht="15" customHeight="1">
      <c r="B149" s="55" t="s">
        <v>145</v>
      </c>
      <c r="C149" s="55"/>
      <c r="D149" s="55"/>
      <c r="I149"/>
      <c r="J149"/>
      <c r="K149" s="65">
        <f>528342+30346</f>
        <v>558688</v>
      </c>
      <c r="N149" s="52"/>
      <c r="Q149" s="52"/>
      <c r="R149" s="52"/>
    </row>
    <row r="150" spans="2:18" ht="15" customHeight="1">
      <c r="B150" s="55" t="s">
        <v>148</v>
      </c>
      <c r="C150" s="55"/>
      <c r="D150" s="55"/>
      <c r="I150"/>
      <c r="J150"/>
      <c r="K150" s="166">
        <f>-976-15445-91-1712-23-2-1-2-17062+336</f>
        <v>-34978</v>
      </c>
      <c r="N150" s="52"/>
      <c r="Q150" s="52"/>
      <c r="R150" s="52"/>
    </row>
    <row r="151" spans="3:18" ht="15" customHeight="1">
      <c r="C151" s="55"/>
      <c r="D151" s="55"/>
      <c r="I151" s="144"/>
      <c r="J151" s="144"/>
      <c r="K151" s="154">
        <f>SUM(K149:K150)</f>
        <v>523710</v>
      </c>
      <c r="N151" s="52"/>
      <c r="Q151" s="52"/>
      <c r="R151" s="52"/>
    </row>
    <row r="152" spans="2:18" ht="15" customHeight="1">
      <c r="B152" s="55" t="s">
        <v>73</v>
      </c>
      <c r="C152" s="55"/>
      <c r="D152" s="55"/>
      <c r="F152" s="65"/>
      <c r="G152" s="65"/>
      <c r="H152" s="65"/>
      <c r="I152" s="65"/>
      <c r="J152" s="65"/>
      <c r="K152" s="166">
        <v>-5076</v>
      </c>
      <c r="N152" s="52"/>
      <c r="Q152" s="52"/>
      <c r="R152" s="52"/>
    </row>
    <row r="153" spans="2:18" ht="15" customHeight="1">
      <c r="B153" s="63" t="s">
        <v>146</v>
      </c>
      <c r="C153" s="63"/>
      <c r="D153" s="63"/>
      <c r="F153" s="79"/>
      <c r="G153" s="79"/>
      <c r="H153" s="79"/>
      <c r="I153" s="79"/>
      <c r="J153" s="79"/>
      <c r="K153" s="79">
        <f>+K151+K152</f>
        <v>518634</v>
      </c>
      <c r="N153" s="52"/>
      <c r="Q153" s="52"/>
      <c r="R153" s="52"/>
    </row>
    <row r="154" spans="2:18" ht="15" customHeight="1">
      <c r="B154" s="55" t="s">
        <v>21</v>
      </c>
      <c r="C154" s="55"/>
      <c r="D154" s="55"/>
      <c r="F154" s="65"/>
      <c r="G154" s="65"/>
      <c r="H154" s="65"/>
      <c r="I154" s="65"/>
      <c r="J154" s="65"/>
      <c r="K154" s="65">
        <f>+PL!H18</f>
        <v>-17819</v>
      </c>
      <c r="N154" s="66"/>
      <c r="Q154" s="64"/>
      <c r="R154" s="64"/>
    </row>
    <row r="155" spans="2:18" ht="15" customHeight="1">
      <c r="B155" s="55" t="s">
        <v>43</v>
      </c>
      <c r="C155" s="55"/>
      <c r="D155" s="55"/>
      <c r="F155" s="65"/>
      <c r="G155" s="65"/>
      <c r="H155" s="65"/>
      <c r="I155" s="65"/>
      <c r="J155" s="65"/>
      <c r="K155" s="65">
        <v>47355</v>
      </c>
      <c r="N155" s="52"/>
      <c r="Q155" s="52"/>
      <c r="R155" s="52"/>
    </row>
    <row r="156" spans="2:18" ht="15" customHeight="1">
      <c r="B156" s="55" t="s">
        <v>234</v>
      </c>
      <c r="C156" s="55"/>
      <c r="D156" s="55"/>
      <c r="F156" s="65"/>
      <c r="G156" s="65"/>
      <c r="H156" s="65"/>
      <c r="I156" s="65"/>
      <c r="J156" s="65"/>
      <c r="K156" s="65">
        <f>+PL!H16-K155</f>
        <v>24635</v>
      </c>
      <c r="N156" s="52"/>
      <c r="Q156" s="52"/>
      <c r="R156" s="52"/>
    </row>
    <row r="157" spans="2:18" ht="15" customHeight="1">
      <c r="B157" s="55" t="s">
        <v>230</v>
      </c>
      <c r="C157" s="55"/>
      <c r="D157" s="55"/>
      <c r="F157" s="65"/>
      <c r="G157" s="65"/>
      <c r="H157" s="65"/>
      <c r="I157" s="65"/>
      <c r="J157" s="65"/>
      <c r="K157" s="65">
        <f>+PL!H17</f>
        <v>-4744</v>
      </c>
      <c r="N157" s="52"/>
      <c r="Q157" s="52"/>
      <c r="R157" s="52"/>
    </row>
    <row r="158" spans="2:18" ht="15" customHeight="1">
      <c r="B158" s="55" t="s">
        <v>231</v>
      </c>
      <c r="C158" s="55"/>
      <c r="D158" s="55"/>
      <c r="F158" s="65"/>
      <c r="G158" s="65"/>
      <c r="H158" s="65"/>
      <c r="I158" s="65"/>
      <c r="J158" s="65"/>
      <c r="K158" s="44">
        <f>PL!H19</f>
        <v>30</v>
      </c>
      <c r="N158" s="52"/>
      <c r="Q158" s="52"/>
      <c r="R158" s="52"/>
    </row>
    <row r="159" spans="2:18" ht="15" customHeight="1">
      <c r="B159" s="55" t="s">
        <v>100</v>
      </c>
      <c r="C159" s="55"/>
      <c r="D159" s="55"/>
      <c r="F159" s="65"/>
      <c r="G159" s="65"/>
      <c r="H159" s="65"/>
      <c r="I159" s="65"/>
      <c r="J159" s="65"/>
      <c r="K159" s="39">
        <f>SUM(K153:K158)</f>
        <v>568091</v>
      </c>
      <c r="N159" s="52"/>
      <c r="Q159" s="52"/>
      <c r="R159" s="52"/>
    </row>
    <row r="160" spans="2:18" ht="15" customHeight="1">
      <c r="B160" s="55" t="s">
        <v>235</v>
      </c>
      <c r="C160" s="55"/>
      <c r="D160" s="55"/>
      <c r="F160" s="65"/>
      <c r="G160" s="65"/>
      <c r="H160" s="65"/>
      <c r="I160" s="65"/>
      <c r="J160" s="65"/>
      <c r="K160" s="166">
        <f>+PL!H23</f>
        <v>-122140</v>
      </c>
      <c r="N160" s="52"/>
      <c r="Q160" s="52"/>
      <c r="R160" s="52"/>
    </row>
    <row r="161" spans="2:18" ht="15" customHeight="1" thickBot="1">
      <c r="B161" s="55" t="s">
        <v>152</v>
      </c>
      <c r="C161" s="55"/>
      <c r="D161" s="55"/>
      <c r="F161" s="65"/>
      <c r="G161" s="65"/>
      <c r="H161" s="65"/>
      <c r="I161" s="65"/>
      <c r="J161" s="65"/>
      <c r="K161" s="150">
        <f>+K159+K160</f>
        <v>445951</v>
      </c>
      <c r="N161" s="66"/>
      <c r="Q161" s="64"/>
      <c r="R161" s="64"/>
    </row>
    <row r="162" spans="2:18" ht="11.25" customHeight="1">
      <c r="B162" s="91"/>
      <c r="J162" s="65"/>
      <c r="N162" s="52"/>
      <c r="Q162" s="52"/>
      <c r="R162" s="52"/>
    </row>
    <row r="163" spans="1:4" ht="15" customHeight="1">
      <c r="A163" s="55" t="s">
        <v>55</v>
      </c>
      <c r="B163" s="55" t="s">
        <v>153</v>
      </c>
      <c r="C163" s="55"/>
      <c r="D163" s="55"/>
    </row>
    <row r="164" spans="1:4" ht="15" customHeight="1">
      <c r="A164" s="56"/>
      <c r="B164" s="55" t="s">
        <v>249</v>
      </c>
      <c r="C164" s="55"/>
      <c r="D164" s="55"/>
    </row>
    <row r="165" spans="2:4" ht="10.5" customHeight="1">
      <c r="B165" s="39"/>
      <c r="D165" s="55"/>
    </row>
    <row r="166" spans="1:4" ht="15" customHeight="1">
      <c r="A166" s="55" t="s">
        <v>56</v>
      </c>
      <c r="B166" s="55" t="s">
        <v>383</v>
      </c>
      <c r="C166" s="55"/>
      <c r="D166" s="55"/>
    </row>
    <row r="167" spans="2:4" ht="15" customHeight="1">
      <c r="B167" s="55" t="s">
        <v>431</v>
      </c>
      <c r="C167" s="57"/>
      <c r="D167" s="57"/>
    </row>
    <row r="168" spans="2:4" ht="15" customHeight="1">
      <c r="B168" s="55" t="s">
        <v>354</v>
      </c>
      <c r="C168" s="57"/>
      <c r="D168" s="57"/>
    </row>
    <row r="169" spans="1:4" ht="12" customHeight="1">
      <c r="A169" s="39"/>
      <c r="B169" s="39"/>
      <c r="C169" s="55"/>
      <c r="D169" s="55"/>
    </row>
    <row r="170" spans="1:4" ht="12" customHeight="1">
      <c r="A170" s="39"/>
      <c r="B170" s="39"/>
      <c r="C170" s="55"/>
      <c r="D170" s="55"/>
    </row>
    <row r="171" spans="1:4" ht="12" customHeight="1">
      <c r="A171" s="39"/>
      <c r="B171" s="39"/>
      <c r="C171" s="55"/>
      <c r="D171" s="55"/>
    </row>
    <row r="172" spans="1:4" ht="12" customHeight="1">
      <c r="A172" s="39"/>
      <c r="B172" s="39"/>
      <c r="C172" s="55"/>
      <c r="D172" s="55"/>
    </row>
    <row r="173" spans="1:4" ht="12" customHeight="1">
      <c r="A173" s="39"/>
      <c r="B173" s="39"/>
      <c r="C173" s="55"/>
      <c r="D173" s="55"/>
    </row>
    <row r="174" spans="1:4" ht="12" customHeight="1">
      <c r="A174" s="39"/>
      <c r="B174" s="39"/>
      <c r="C174" s="55"/>
      <c r="D174" s="55"/>
    </row>
    <row r="175" spans="1:4" ht="12" customHeight="1">
      <c r="A175" s="39"/>
      <c r="B175" s="39"/>
      <c r="C175" s="55"/>
      <c r="D175" s="55"/>
    </row>
    <row r="176" spans="1:4" ht="12" customHeight="1">
      <c r="A176" s="39"/>
      <c r="B176" s="39"/>
      <c r="C176" s="55"/>
      <c r="D176" s="55"/>
    </row>
    <row r="177" spans="1:4" ht="12" customHeight="1">
      <c r="A177" s="39"/>
      <c r="B177" s="39"/>
      <c r="C177" s="55"/>
      <c r="D177" s="55"/>
    </row>
    <row r="178" spans="1:4" ht="12" customHeight="1">
      <c r="A178" s="39"/>
      <c r="B178" s="39"/>
      <c r="C178" s="55"/>
      <c r="D178" s="55"/>
    </row>
    <row r="179" spans="1:4" ht="12" customHeight="1">
      <c r="A179" s="39"/>
      <c r="B179" s="39"/>
      <c r="C179" s="55"/>
      <c r="D179" s="55"/>
    </row>
    <row r="180" spans="1:4" ht="15" customHeight="1">
      <c r="A180" s="146" t="s">
        <v>57</v>
      </c>
      <c r="B180" s="55" t="s">
        <v>384</v>
      </c>
      <c r="C180" s="55"/>
      <c r="D180" s="55"/>
    </row>
    <row r="181" spans="2:4" ht="15" customHeight="1">
      <c r="B181" s="55" t="s">
        <v>225</v>
      </c>
      <c r="C181" s="57"/>
      <c r="D181" s="57"/>
    </row>
    <row r="182" ht="15" customHeight="1">
      <c r="B182" s="55" t="s">
        <v>250</v>
      </c>
    </row>
    <row r="183" ht="15" customHeight="1">
      <c r="B183" s="55" t="s">
        <v>281</v>
      </c>
    </row>
    <row r="184" spans="1:4" ht="15">
      <c r="A184" s="56"/>
      <c r="B184" s="55" t="s">
        <v>251</v>
      </c>
      <c r="C184" s="55"/>
      <c r="D184" s="55"/>
    </row>
    <row r="185" spans="1:4" ht="10.5" customHeight="1">
      <c r="A185" s="56"/>
      <c r="C185" s="55"/>
      <c r="D185" s="55"/>
    </row>
    <row r="186" spans="1:4" ht="15">
      <c r="A186" s="146" t="s">
        <v>58</v>
      </c>
      <c r="B186" s="55" t="s">
        <v>314</v>
      </c>
      <c r="C186" s="55"/>
      <c r="D186" s="55"/>
    </row>
    <row r="187" spans="2:4" ht="15">
      <c r="B187" s="55" t="s">
        <v>315</v>
      </c>
      <c r="C187" s="55"/>
      <c r="D187" s="55"/>
    </row>
    <row r="188" spans="2:4" ht="15" customHeight="1">
      <c r="B188" s="55" t="s">
        <v>316</v>
      </c>
      <c r="C188" s="55"/>
      <c r="D188" s="55"/>
    </row>
    <row r="189" spans="2:11" ht="16.5" customHeight="1">
      <c r="B189" s="55" t="s">
        <v>456</v>
      </c>
      <c r="C189" s="55"/>
      <c r="E189" s="55"/>
      <c r="J189" s="52"/>
      <c r="K189" s="52"/>
    </row>
    <row r="190" spans="2:4" ht="15">
      <c r="B190" s="55" t="s">
        <v>457</v>
      </c>
      <c r="C190" s="55"/>
      <c r="D190" s="55"/>
    </row>
    <row r="191" spans="3:4" ht="15">
      <c r="C191" s="55"/>
      <c r="D191" s="55"/>
    </row>
    <row r="192" spans="3:4" ht="15">
      <c r="C192" s="55"/>
      <c r="D192" s="55"/>
    </row>
    <row r="198" spans="3:19" ht="15">
      <c r="C198" s="55"/>
      <c r="D198" s="55"/>
      <c r="S198" s="52"/>
    </row>
    <row r="199" spans="3:14" ht="15">
      <c r="C199" s="55"/>
      <c r="D199" s="55"/>
      <c r="N199" s="52"/>
    </row>
    <row r="200" spans="3:19" ht="15">
      <c r="C200" s="55"/>
      <c r="D200" s="55"/>
      <c r="O200" s="52"/>
      <c r="S200" s="52"/>
    </row>
    <row r="202" spans="3:19" ht="15">
      <c r="C202" s="55"/>
      <c r="D202" s="55"/>
      <c r="S202" s="52"/>
    </row>
    <row r="205" spans="3:4" ht="15">
      <c r="C205" s="55"/>
      <c r="D205" s="55"/>
    </row>
    <row r="206" spans="3:12" ht="15">
      <c r="C206" s="55"/>
      <c r="D206" s="55"/>
      <c r="L206" s="52"/>
    </row>
    <row r="209" spans="3:4" ht="15">
      <c r="C209" s="55"/>
      <c r="D209" s="55"/>
    </row>
  </sheetData>
  <mergeCells count="7">
    <mergeCell ref="I65:J65"/>
    <mergeCell ref="I66:J66"/>
    <mergeCell ref="G66:H66"/>
    <mergeCell ref="D47:F47"/>
    <mergeCell ref="G48:H48"/>
    <mergeCell ref="I48:J48"/>
    <mergeCell ref="I47:J47"/>
  </mergeCells>
  <printOptions/>
  <pageMargins left="0.59" right="0.14" top="0.73" bottom="0.31" header="0.33" footer="0.5"/>
  <pageSetup firstPageNumber="5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30-4-2006</oddHeader>
    <oddFooter>&amp;R&amp;"Arial,Bold"    Page &amp;P</oddFooter>
  </headerFooter>
  <rowBreaks count="1" manualBreakCount="1">
    <brk id="1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80"/>
  <sheetViews>
    <sheetView showGridLines="0" tabSelected="1" workbookViewId="0" topLeftCell="A202">
      <selection activeCell="K221" sqref="K221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8.421875" style="2" customWidth="1"/>
    <col min="4" max="4" width="10.28125" style="2" customWidth="1"/>
    <col min="5" max="5" width="9.57421875" style="2" customWidth="1"/>
    <col min="6" max="6" width="12.28125" style="2" customWidth="1"/>
    <col min="7" max="7" width="10.8515625" style="2" customWidth="1"/>
    <col min="8" max="8" width="10.140625" style="67" customWidth="1"/>
    <col min="9" max="9" width="11.7109375" style="67" customWidth="1"/>
    <col min="10" max="10" width="9.57421875" style="67" customWidth="1"/>
    <col min="11" max="11" width="7.140625" style="2" customWidth="1"/>
    <col min="12" max="12" width="2.8515625" style="2" customWidth="1"/>
    <col min="13" max="13" width="16.42187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4"/>
      <c r="C1" s="54"/>
      <c r="D1" s="54"/>
      <c r="E1" s="39"/>
      <c r="F1" s="39"/>
      <c r="G1" s="39"/>
      <c r="H1" s="72"/>
      <c r="I1" s="72"/>
    </row>
    <row r="2" spans="2:9" ht="12.75" customHeight="1">
      <c r="B2" s="54"/>
      <c r="C2" s="54"/>
      <c r="D2" s="54"/>
      <c r="E2" s="39"/>
      <c r="F2" s="39"/>
      <c r="G2" s="39"/>
      <c r="H2" s="72"/>
      <c r="I2" s="72"/>
    </row>
    <row r="3" spans="1:9" ht="15">
      <c r="A3" s="5" t="str">
        <f>PL!A5</f>
        <v>UNAUDITED QUARTERLY FINANCIAL REPORT FOR THE YEAR ENDED 30 APRIL 2006</v>
      </c>
      <c r="B3" s="54"/>
      <c r="C3" s="54"/>
      <c r="D3" s="54"/>
      <c r="E3" s="39"/>
      <c r="F3" s="39"/>
      <c r="G3" s="39"/>
      <c r="H3" s="72"/>
      <c r="I3" s="72"/>
    </row>
    <row r="4" spans="1:9" ht="15">
      <c r="A4" s="53" t="s">
        <v>226</v>
      </c>
      <c r="B4" s="54"/>
      <c r="C4" s="54"/>
      <c r="D4" s="54"/>
      <c r="E4" s="39"/>
      <c r="F4" s="39"/>
      <c r="G4" s="39"/>
      <c r="H4" s="72"/>
      <c r="I4" s="72"/>
    </row>
    <row r="5" spans="1:9" ht="15">
      <c r="A5" s="53" t="s">
        <v>227</v>
      </c>
      <c r="B5" s="54"/>
      <c r="C5" s="54"/>
      <c r="D5" s="54"/>
      <c r="E5" s="39"/>
      <c r="F5" s="39"/>
      <c r="G5" s="39"/>
      <c r="H5" s="72"/>
      <c r="I5" s="72"/>
    </row>
    <row r="6" spans="1:9" ht="15">
      <c r="A6" s="53"/>
      <c r="B6" s="54"/>
      <c r="C6" s="54"/>
      <c r="D6" s="54"/>
      <c r="E6" s="39"/>
      <c r="F6" s="39"/>
      <c r="G6" s="39"/>
      <c r="H6" s="72"/>
      <c r="I6" s="72"/>
    </row>
    <row r="7" spans="1:9" ht="15" customHeight="1">
      <c r="A7" s="55" t="s">
        <v>59</v>
      </c>
      <c r="B7" s="55" t="s">
        <v>412</v>
      </c>
      <c r="C7" s="55"/>
      <c r="D7" s="55"/>
      <c r="E7" s="39"/>
      <c r="F7" s="39"/>
      <c r="G7" s="39"/>
      <c r="H7" s="72"/>
      <c r="I7" s="72"/>
    </row>
    <row r="8" spans="1:9" ht="15" customHeight="1">
      <c r="A8" s="55"/>
      <c r="B8" s="2" t="s">
        <v>450</v>
      </c>
      <c r="D8" s="55"/>
      <c r="E8" s="39"/>
      <c r="F8" s="39"/>
      <c r="G8" s="39"/>
      <c r="H8" s="72"/>
      <c r="I8" s="72"/>
    </row>
    <row r="9" spans="1:9" ht="15" customHeight="1">
      <c r="A9" s="55"/>
      <c r="B9" s="2" t="s">
        <v>468</v>
      </c>
      <c r="D9" s="55"/>
      <c r="E9" s="39"/>
      <c r="F9" s="39"/>
      <c r="G9" s="39"/>
      <c r="H9" s="72"/>
      <c r="I9" s="72"/>
    </row>
    <row r="10" spans="1:9" ht="15" customHeight="1">
      <c r="A10" s="55"/>
      <c r="B10" s="2" t="s">
        <v>466</v>
      </c>
      <c r="D10" s="55"/>
      <c r="E10" s="39"/>
      <c r="F10" s="39"/>
      <c r="G10" s="39"/>
      <c r="H10" s="72"/>
      <c r="I10" s="72"/>
    </row>
    <row r="11" spans="1:9" ht="15" customHeight="1">
      <c r="A11" s="55"/>
      <c r="B11" s="2" t="s">
        <v>467</v>
      </c>
      <c r="D11" s="55"/>
      <c r="E11" s="39"/>
      <c r="F11" s="39"/>
      <c r="G11" s="39"/>
      <c r="H11" s="72"/>
      <c r="I11" s="72"/>
    </row>
    <row r="12" spans="1:9" ht="15" customHeight="1">
      <c r="A12" s="55"/>
      <c r="D12" s="55"/>
      <c r="E12" s="39"/>
      <c r="F12" s="39"/>
      <c r="G12" s="39"/>
      <c r="H12" s="72"/>
      <c r="I12" s="72"/>
    </row>
    <row r="13" spans="1:9" ht="15" customHeight="1">
      <c r="A13" s="55"/>
      <c r="B13" s="2" t="s">
        <v>432</v>
      </c>
      <c r="D13" s="55"/>
      <c r="E13" s="39"/>
      <c r="F13" s="39"/>
      <c r="G13" s="39"/>
      <c r="H13" s="72"/>
      <c r="I13" s="72"/>
    </row>
    <row r="14" spans="1:9" ht="15" customHeight="1">
      <c r="A14" s="55"/>
      <c r="B14" s="2" t="s">
        <v>422</v>
      </c>
      <c r="D14" s="55"/>
      <c r="E14" s="39"/>
      <c r="F14" s="39"/>
      <c r="G14" s="39"/>
      <c r="H14" s="72"/>
      <c r="I14" s="72"/>
    </row>
    <row r="15" spans="1:9" ht="15" customHeight="1">
      <c r="A15" s="55"/>
      <c r="B15" s="2" t="s">
        <v>433</v>
      </c>
      <c r="D15" s="55"/>
      <c r="E15" s="39"/>
      <c r="F15" s="39"/>
      <c r="G15" s="39"/>
      <c r="H15" s="72"/>
      <c r="I15" s="72"/>
    </row>
    <row r="16" spans="1:9" ht="15" customHeight="1">
      <c r="A16" s="55"/>
      <c r="B16" s="2" t="s">
        <v>419</v>
      </c>
      <c r="D16" s="55"/>
      <c r="E16" s="39"/>
      <c r="F16" s="39"/>
      <c r="G16" s="39"/>
      <c r="H16" s="72"/>
      <c r="I16" s="72"/>
    </row>
    <row r="17" spans="1:9" ht="15" customHeight="1">
      <c r="A17" s="55"/>
      <c r="B17" s="2" t="s">
        <v>434</v>
      </c>
      <c r="D17" s="55"/>
      <c r="E17" s="39"/>
      <c r="F17" s="39"/>
      <c r="G17" s="39"/>
      <c r="H17" s="72"/>
      <c r="I17" s="72"/>
    </row>
    <row r="18" spans="1:9" ht="15" customHeight="1">
      <c r="A18" s="55"/>
      <c r="D18" s="55"/>
      <c r="E18" s="39"/>
      <c r="F18" s="39"/>
      <c r="G18" s="39"/>
      <c r="H18" s="72"/>
      <c r="I18" s="72"/>
    </row>
    <row r="19" spans="1:9" ht="15" customHeight="1">
      <c r="A19" s="55"/>
      <c r="B19" s="2" t="s">
        <v>418</v>
      </c>
      <c r="D19" s="55"/>
      <c r="E19" s="39"/>
      <c r="F19" s="39"/>
      <c r="G19" s="39"/>
      <c r="H19" s="72"/>
      <c r="I19" s="72"/>
    </row>
    <row r="20" spans="1:9" ht="15" customHeight="1">
      <c r="A20" s="55"/>
      <c r="B20" s="2" t="s">
        <v>451</v>
      </c>
      <c r="D20" s="55"/>
      <c r="E20" s="39"/>
      <c r="F20" s="39"/>
      <c r="G20" s="39"/>
      <c r="H20" s="72"/>
      <c r="I20" s="72"/>
    </row>
    <row r="21" spans="1:9" ht="15" customHeight="1">
      <c r="A21" s="55"/>
      <c r="B21" s="2" t="s">
        <v>435</v>
      </c>
      <c r="D21" s="55"/>
      <c r="E21" s="39"/>
      <c r="F21" s="39"/>
      <c r="G21" s="39"/>
      <c r="H21" s="72"/>
      <c r="I21" s="72"/>
    </row>
    <row r="22" spans="1:9" ht="15" customHeight="1">
      <c r="A22" s="55"/>
      <c r="B22" s="2" t="s">
        <v>436</v>
      </c>
      <c r="D22" s="55"/>
      <c r="E22" s="39"/>
      <c r="F22" s="39"/>
      <c r="G22" s="39"/>
      <c r="H22" s="72"/>
      <c r="I22" s="72"/>
    </row>
    <row r="23" spans="1:9" ht="15" customHeight="1">
      <c r="A23" s="55"/>
      <c r="B23" s="2" t="s">
        <v>0</v>
      </c>
      <c r="D23" s="55"/>
      <c r="E23" s="39"/>
      <c r="F23" s="39"/>
      <c r="G23" s="39"/>
      <c r="H23" s="72"/>
      <c r="I23" s="72"/>
    </row>
    <row r="24" spans="1:9" ht="15" customHeight="1">
      <c r="A24" s="55"/>
      <c r="D24" s="55"/>
      <c r="E24" s="39"/>
      <c r="F24" s="39"/>
      <c r="G24" s="39"/>
      <c r="H24" s="72"/>
      <c r="I24" s="72"/>
    </row>
    <row r="25" spans="1:10" ht="15">
      <c r="A25" s="55"/>
      <c r="B25" s="2" t="s">
        <v>420</v>
      </c>
      <c r="F25" s="39"/>
      <c r="G25" s="39"/>
      <c r="H25" s="175"/>
      <c r="I25" s="175"/>
      <c r="J25" s="73"/>
    </row>
    <row r="26" spans="1:10" ht="15">
      <c r="A26" s="55"/>
      <c r="B26" s="2" t="s">
        <v>1</v>
      </c>
      <c r="F26" s="39"/>
      <c r="G26" s="39"/>
      <c r="H26" s="175"/>
      <c r="I26" s="175"/>
      <c r="J26" s="73"/>
    </row>
    <row r="27" spans="1:10" ht="15">
      <c r="A27" s="55"/>
      <c r="B27" s="2" t="s">
        <v>346</v>
      </c>
      <c r="F27" s="39"/>
      <c r="G27" s="39"/>
      <c r="H27" s="175"/>
      <c r="I27" s="175"/>
      <c r="J27" s="73"/>
    </row>
    <row r="28" spans="1:10" ht="15">
      <c r="A28" s="55"/>
      <c r="B28" s="2" t="s">
        <v>421</v>
      </c>
      <c r="F28" s="39"/>
      <c r="G28" s="39"/>
      <c r="H28" s="175"/>
      <c r="I28" s="175"/>
      <c r="J28" s="73"/>
    </row>
    <row r="29" spans="1:10" ht="15">
      <c r="A29" s="55"/>
      <c r="B29" s="2" t="s">
        <v>437</v>
      </c>
      <c r="F29" s="39"/>
      <c r="G29" s="39"/>
      <c r="H29" s="175"/>
      <c r="I29" s="175"/>
      <c r="J29" s="73"/>
    </row>
    <row r="30" spans="1:10" ht="15">
      <c r="A30" s="55"/>
      <c r="B30" s="2" t="s">
        <v>469</v>
      </c>
      <c r="F30" s="39"/>
      <c r="G30" s="39"/>
      <c r="H30" s="175"/>
      <c r="I30" s="175"/>
      <c r="J30" s="73"/>
    </row>
    <row r="31" spans="1:10" ht="15">
      <c r="A31" s="55"/>
      <c r="F31" s="39"/>
      <c r="G31" s="39"/>
      <c r="H31" s="175"/>
      <c r="I31" s="175"/>
      <c r="J31" s="73"/>
    </row>
    <row r="32" spans="1:9" ht="15">
      <c r="A32" s="55" t="s">
        <v>60</v>
      </c>
      <c r="B32" s="55" t="s">
        <v>2</v>
      </c>
      <c r="C32" s="55"/>
      <c r="D32" s="55"/>
      <c r="E32" s="39"/>
      <c r="F32" s="39"/>
      <c r="G32" s="39"/>
      <c r="H32" s="72"/>
      <c r="I32" s="72"/>
    </row>
    <row r="33" spans="1:9" ht="15">
      <c r="A33" s="55"/>
      <c r="B33" s="55" t="s">
        <v>452</v>
      </c>
      <c r="C33" s="55"/>
      <c r="D33" s="55"/>
      <c r="E33" s="39"/>
      <c r="F33" s="39"/>
      <c r="G33" s="39"/>
      <c r="H33" s="160"/>
      <c r="I33" s="72"/>
    </row>
    <row r="34" spans="1:9" ht="15">
      <c r="A34" s="55"/>
      <c r="B34" s="55"/>
      <c r="C34" s="55"/>
      <c r="D34" s="55"/>
      <c r="E34" s="39"/>
      <c r="F34" s="39"/>
      <c r="G34" s="39"/>
      <c r="H34" s="160"/>
      <c r="I34" s="72"/>
    </row>
    <row r="35" spans="1:9" ht="15">
      <c r="A35" s="55"/>
      <c r="B35" s="55" t="s">
        <v>3</v>
      </c>
      <c r="C35" s="55"/>
      <c r="D35" s="55"/>
      <c r="E35" s="39"/>
      <c r="F35" s="39"/>
      <c r="G35" s="39"/>
      <c r="H35" s="160"/>
      <c r="I35" s="72"/>
    </row>
    <row r="36" spans="1:9" ht="15">
      <c r="A36" s="55"/>
      <c r="B36" s="55" t="s">
        <v>423</v>
      </c>
      <c r="C36" s="55"/>
      <c r="D36" s="55"/>
      <c r="E36" s="39"/>
      <c r="F36" s="39"/>
      <c r="G36" s="39"/>
      <c r="H36" s="160"/>
      <c r="I36" s="72"/>
    </row>
    <row r="37" spans="1:9" ht="15">
      <c r="A37" s="55"/>
      <c r="B37" s="55" t="s">
        <v>4</v>
      </c>
      <c r="C37" s="55"/>
      <c r="D37" s="55"/>
      <c r="E37" s="39"/>
      <c r="F37" s="39"/>
      <c r="G37" s="39"/>
      <c r="H37" s="160"/>
      <c r="I37" s="72"/>
    </row>
    <row r="38" spans="1:20" ht="15">
      <c r="A38" s="55"/>
      <c r="B38" s="55"/>
      <c r="C38" s="55"/>
      <c r="D38" s="55"/>
      <c r="E38" s="39"/>
      <c r="F38" s="39"/>
      <c r="G38" s="39"/>
      <c r="H38" s="72"/>
      <c r="I38" s="72"/>
      <c r="L38" s="55"/>
      <c r="M38" s="55"/>
      <c r="N38" s="55"/>
      <c r="O38" s="39"/>
      <c r="P38" s="39"/>
      <c r="Q38" s="39"/>
      <c r="R38" s="72"/>
      <c r="S38" s="72"/>
      <c r="T38" s="67"/>
    </row>
    <row r="39" spans="1:9" ht="15">
      <c r="A39" s="55" t="s">
        <v>61</v>
      </c>
      <c r="B39" s="55" t="s">
        <v>438</v>
      </c>
      <c r="C39" s="55"/>
      <c r="D39" s="55"/>
      <c r="E39" s="39"/>
      <c r="F39" s="39"/>
      <c r="G39" s="39"/>
      <c r="H39" s="72"/>
      <c r="I39" s="72"/>
    </row>
    <row r="40" spans="1:9" ht="15">
      <c r="A40" s="55"/>
      <c r="B40" s="55" t="s">
        <v>440</v>
      </c>
      <c r="C40" s="55"/>
      <c r="D40" s="55"/>
      <c r="E40" s="39"/>
      <c r="F40" s="39"/>
      <c r="G40" s="39"/>
      <c r="H40" s="72"/>
      <c r="I40" s="72"/>
    </row>
    <row r="41" spans="1:9" ht="15">
      <c r="A41" s="55"/>
      <c r="B41" s="55" t="s">
        <v>439</v>
      </c>
      <c r="C41" s="55"/>
      <c r="D41" s="55"/>
      <c r="E41" s="39"/>
      <c r="F41" s="39"/>
      <c r="G41" s="39"/>
      <c r="H41" s="72"/>
      <c r="I41" s="72"/>
    </row>
    <row r="42" spans="1:9" ht="15">
      <c r="A42" s="55"/>
      <c r="B42" s="55"/>
      <c r="C42" s="55"/>
      <c r="D42" s="55"/>
      <c r="E42" s="39"/>
      <c r="F42" s="39"/>
      <c r="G42" s="39"/>
      <c r="H42" s="72"/>
      <c r="I42" s="72"/>
    </row>
    <row r="43" spans="1:9" ht="15">
      <c r="A43" s="56" t="s">
        <v>63</v>
      </c>
      <c r="B43" s="55" t="s">
        <v>5</v>
      </c>
      <c r="C43" s="55"/>
      <c r="D43" s="39"/>
      <c r="E43" s="39"/>
      <c r="F43" s="39"/>
      <c r="G43" s="39"/>
      <c r="H43" s="72"/>
      <c r="I43" s="72"/>
    </row>
    <row r="44" spans="1:9" ht="15">
      <c r="A44" s="56"/>
      <c r="B44" s="55" t="s">
        <v>6</v>
      </c>
      <c r="C44" s="55"/>
      <c r="D44" s="39"/>
      <c r="E44" s="39"/>
      <c r="F44" s="39"/>
      <c r="G44" s="39"/>
      <c r="H44" s="72"/>
      <c r="I44" s="72"/>
    </row>
    <row r="45" spans="1:9" ht="15">
      <c r="A45" s="56"/>
      <c r="B45" s="55"/>
      <c r="C45" s="55"/>
      <c r="D45" s="39"/>
      <c r="E45" s="39"/>
      <c r="F45" s="39"/>
      <c r="G45" s="39"/>
      <c r="H45" s="72"/>
      <c r="I45" s="72"/>
    </row>
    <row r="46" spans="1:9" ht="15">
      <c r="A46" s="56"/>
      <c r="B46" s="55"/>
      <c r="C46" s="55"/>
      <c r="D46" s="39"/>
      <c r="E46" s="39"/>
      <c r="F46" s="39"/>
      <c r="G46" s="39"/>
      <c r="H46" s="72"/>
      <c r="I46" s="72"/>
    </row>
    <row r="47" spans="1:9" ht="15">
      <c r="A47" s="56"/>
      <c r="B47" s="55"/>
      <c r="C47" s="55"/>
      <c r="D47" s="39"/>
      <c r="E47" s="39"/>
      <c r="F47" s="39"/>
      <c r="G47" s="39"/>
      <c r="H47" s="72"/>
      <c r="I47" s="72"/>
    </row>
    <row r="48" spans="1:9" ht="15">
      <c r="A48" s="56"/>
      <c r="B48" s="55"/>
      <c r="C48" s="55"/>
      <c r="D48" s="39"/>
      <c r="E48" s="39"/>
      <c r="F48" s="39"/>
      <c r="G48" s="39"/>
      <c r="H48" s="72"/>
      <c r="I48" s="72"/>
    </row>
    <row r="49" spans="1:9" ht="15">
      <c r="A49" s="56"/>
      <c r="B49" s="55"/>
      <c r="C49" s="55"/>
      <c r="D49" s="39"/>
      <c r="E49" s="39"/>
      <c r="F49" s="39"/>
      <c r="G49" s="39"/>
      <c r="H49" s="72"/>
      <c r="I49" s="72"/>
    </row>
    <row r="50" spans="1:9" ht="15">
      <c r="A50" s="56"/>
      <c r="B50" s="55"/>
      <c r="C50" s="55"/>
      <c r="D50" s="39"/>
      <c r="E50" s="39"/>
      <c r="F50" s="39"/>
      <c r="G50" s="39"/>
      <c r="H50" s="72"/>
      <c r="I50" s="72"/>
    </row>
    <row r="51" spans="1:9" ht="15">
      <c r="A51" s="56"/>
      <c r="B51" s="55"/>
      <c r="C51" s="55"/>
      <c r="D51" s="39"/>
      <c r="E51" s="39"/>
      <c r="F51" s="39"/>
      <c r="G51" s="39"/>
      <c r="H51" s="72"/>
      <c r="I51" s="72"/>
    </row>
    <row r="52" spans="1:9" ht="15">
      <c r="A52" s="56"/>
      <c r="B52" s="55"/>
      <c r="C52" s="55"/>
      <c r="D52" s="39"/>
      <c r="E52" s="39"/>
      <c r="F52" s="39"/>
      <c r="G52" s="39"/>
      <c r="H52" s="72"/>
      <c r="I52" s="72"/>
    </row>
    <row r="53" spans="1:9" ht="15">
      <c r="A53" s="56"/>
      <c r="B53" s="55"/>
      <c r="C53" s="55"/>
      <c r="D53" s="39"/>
      <c r="E53" s="39"/>
      <c r="F53" s="39"/>
      <c r="G53" s="39"/>
      <c r="H53" s="72"/>
      <c r="I53" s="72"/>
    </row>
    <row r="54" spans="1:9" ht="12.75" customHeight="1">
      <c r="A54" s="56"/>
      <c r="B54" s="55"/>
      <c r="C54" s="55"/>
      <c r="D54" s="39"/>
      <c r="E54" s="39"/>
      <c r="F54" s="39"/>
      <c r="G54" s="39"/>
      <c r="H54" s="72"/>
      <c r="I54" s="72"/>
    </row>
    <row r="55" spans="1:2" ht="15" customHeight="1">
      <c r="A55" s="2" t="s">
        <v>64</v>
      </c>
      <c r="B55" s="2" t="s">
        <v>31</v>
      </c>
    </row>
    <row r="56" spans="7:9" ht="15" customHeight="1">
      <c r="G56" s="59" t="s">
        <v>293</v>
      </c>
      <c r="H56" s="2"/>
      <c r="I56" s="27" t="s">
        <v>392</v>
      </c>
    </row>
    <row r="57" spans="2:9" ht="14.25" customHeight="1">
      <c r="B57" s="4"/>
      <c r="C57" s="4"/>
      <c r="D57" s="4"/>
      <c r="E57" s="4"/>
      <c r="F57" s="4"/>
      <c r="G57" s="59" t="s">
        <v>294</v>
      </c>
      <c r="H57" s="2"/>
      <c r="I57" s="152" t="s">
        <v>393</v>
      </c>
    </row>
    <row r="58" spans="2:9" ht="15" customHeight="1">
      <c r="B58" s="4"/>
      <c r="C58" s="4"/>
      <c r="D58" s="4"/>
      <c r="E58" s="4"/>
      <c r="F58" s="4"/>
      <c r="G58" s="107" t="s">
        <v>19</v>
      </c>
      <c r="H58" s="2"/>
      <c r="I58" s="107" t="s">
        <v>19</v>
      </c>
    </row>
    <row r="59" spans="2:9" ht="15" customHeight="1">
      <c r="B59" s="2" t="s">
        <v>191</v>
      </c>
      <c r="G59" s="79"/>
      <c r="H59" s="72"/>
      <c r="I59" s="65"/>
    </row>
    <row r="60" spans="2:9" ht="15" customHeight="1">
      <c r="B60" s="58" t="s">
        <v>41</v>
      </c>
      <c r="C60" s="58"/>
      <c r="D60" s="58"/>
      <c r="E60" s="58"/>
      <c r="F60" s="58"/>
      <c r="G60" s="65">
        <f>+I60-115387</f>
        <v>43274</v>
      </c>
      <c r="H60" s="39"/>
      <c r="I60" s="149">
        <f>153361+5300</f>
        <v>158661</v>
      </c>
    </row>
    <row r="61" spans="2:9" ht="15" customHeight="1">
      <c r="B61" s="58" t="s">
        <v>128</v>
      </c>
      <c r="C61" s="58"/>
      <c r="D61" s="58"/>
      <c r="E61" s="58"/>
      <c r="F61" s="58"/>
      <c r="G61" s="79">
        <f>+I61-6865</f>
        <v>2223</v>
      </c>
      <c r="H61" s="72"/>
      <c r="I61" s="154">
        <v>9088</v>
      </c>
    </row>
    <row r="62" spans="2:9" ht="15" customHeight="1">
      <c r="B62" s="2" t="s">
        <v>282</v>
      </c>
      <c r="C62" s="58"/>
      <c r="D62" s="58"/>
      <c r="E62" s="58"/>
      <c r="F62" s="58"/>
      <c r="G62" s="79">
        <f>+I62-1557</f>
        <v>0</v>
      </c>
      <c r="H62" s="72"/>
      <c r="I62" s="65">
        <f>1557</f>
        <v>1557</v>
      </c>
    </row>
    <row r="63" spans="2:9" ht="15" customHeight="1">
      <c r="B63" s="2" t="s">
        <v>449</v>
      </c>
      <c r="C63" s="58"/>
      <c r="D63" s="58"/>
      <c r="E63" s="58"/>
      <c r="F63" s="58"/>
      <c r="G63" s="79">
        <f>+I63-5521</f>
        <v>-52698</v>
      </c>
      <c r="H63" s="72"/>
      <c r="I63" s="65">
        <f>5521-52698</f>
        <v>-47177</v>
      </c>
    </row>
    <row r="64" spans="2:9" ht="15" customHeight="1">
      <c r="B64" s="2" t="s">
        <v>300</v>
      </c>
      <c r="C64" s="58"/>
      <c r="D64" s="58"/>
      <c r="E64" s="58"/>
      <c r="F64" s="58"/>
      <c r="G64" s="79">
        <f>+I64-11</f>
        <v>0</v>
      </c>
      <c r="H64" s="72"/>
      <c r="I64" s="65">
        <v>11</v>
      </c>
    </row>
    <row r="65" spans="2:9" ht="15" customHeight="1" thickBot="1">
      <c r="B65" s="4"/>
      <c r="C65" s="74"/>
      <c r="D65" s="74"/>
      <c r="E65" s="4"/>
      <c r="F65" s="4"/>
      <c r="G65" s="182">
        <f>SUM(G60:G64)</f>
        <v>-7201</v>
      </c>
      <c r="H65" s="72"/>
      <c r="I65" s="156">
        <f>SUM(I60:I64)</f>
        <v>122140</v>
      </c>
    </row>
    <row r="66" spans="2:9" ht="9.75" customHeight="1" thickTop="1">
      <c r="B66" s="4"/>
      <c r="C66" s="74"/>
      <c r="D66" s="74"/>
      <c r="E66" s="4"/>
      <c r="F66" s="4"/>
      <c r="G66" s="165"/>
      <c r="H66" s="72"/>
      <c r="I66" s="65"/>
    </row>
    <row r="67" spans="2:10" ht="15">
      <c r="B67" s="153" t="s">
        <v>447</v>
      </c>
      <c r="C67" s="196"/>
      <c r="D67" s="196"/>
      <c r="E67" s="153"/>
      <c r="F67" s="153"/>
      <c r="G67" s="153"/>
      <c r="H67" s="28"/>
      <c r="I67" s="28"/>
      <c r="J67" s="28"/>
    </row>
    <row r="68" spans="2:10" ht="15">
      <c r="B68" s="153" t="s">
        <v>448</v>
      </c>
      <c r="C68" s="153"/>
      <c r="D68" s="153"/>
      <c r="E68" s="153"/>
      <c r="F68" s="153"/>
      <c r="G68" s="153"/>
      <c r="H68" s="28"/>
      <c r="I68" s="28"/>
      <c r="J68" s="28"/>
    </row>
    <row r="70" spans="1:2" ht="15">
      <c r="A70" s="2" t="s">
        <v>67</v>
      </c>
      <c r="B70" s="2" t="s">
        <v>154</v>
      </c>
    </row>
    <row r="71" spans="2:3" ht="15">
      <c r="B71" s="55" t="s">
        <v>189</v>
      </c>
      <c r="C71" s="57"/>
    </row>
    <row r="72" ht="15">
      <c r="B72" s="55" t="s">
        <v>394</v>
      </c>
    </row>
    <row r="73" ht="15">
      <c r="B73" s="55"/>
    </row>
    <row r="74" spans="1:2" ht="15">
      <c r="A74" s="2" t="s">
        <v>66</v>
      </c>
      <c r="B74" s="2" t="s">
        <v>129</v>
      </c>
    </row>
    <row r="75" spans="2:9" ht="12.75" customHeight="1">
      <c r="B75" s="55"/>
      <c r="C75" s="57"/>
      <c r="D75" s="57"/>
      <c r="H75" s="27"/>
      <c r="I75" s="27"/>
    </row>
    <row r="76" spans="2:3" ht="15">
      <c r="B76" s="2" t="s">
        <v>275</v>
      </c>
      <c r="C76" s="2" t="s">
        <v>7</v>
      </c>
    </row>
    <row r="77" ht="15">
      <c r="C77" s="2" t="s">
        <v>287</v>
      </c>
    </row>
    <row r="78" spans="7:9" ht="15">
      <c r="G78" s="27" t="s">
        <v>295</v>
      </c>
      <c r="I78" s="27" t="s">
        <v>392</v>
      </c>
    </row>
    <row r="79" spans="7:9" ht="15">
      <c r="G79" s="27" t="s">
        <v>294</v>
      </c>
      <c r="I79" s="152" t="s">
        <v>393</v>
      </c>
    </row>
    <row r="80" spans="7:9" ht="15">
      <c r="G80" s="27" t="s">
        <v>19</v>
      </c>
      <c r="I80" s="27" t="s">
        <v>19</v>
      </c>
    </row>
    <row r="81" spans="3:9" ht="15.75" thickBot="1">
      <c r="C81" s="2" t="s">
        <v>289</v>
      </c>
      <c r="G81" s="194">
        <f>+I81-93</f>
        <v>14685</v>
      </c>
      <c r="H81" s="28"/>
      <c r="I81" s="189">
        <f>93+14685</f>
        <v>14778</v>
      </c>
    </row>
    <row r="82" spans="3:9" ht="16.5" thickBot="1" thickTop="1">
      <c r="C82" s="2" t="s">
        <v>288</v>
      </c>
      <c r="G82" s="195">
        <f>+I82-92</f>
        <v>4656</v>
      </c>
      <c r="H82" s="28"/>
      <c r="I82" s="191">
        <f>92+4546+110</f>
        <v>4748</v>
      </c>
    </row>
    <row r="83" spans="3:9" ht="16.5" thickBot="1" thickTop="1">
      <c r="C83" s="2" t="s">
        <v>442</v>
      </c>
      <c r="G83" s="195">
        <f>+I83--1</f>
        <v>356</v>
      </c>
      <c r="H83" s="28"/>
      <c r="I83" s="191">
        <f>-1+346+10</f>
        <v>355</v>
      </c>
    </row>
    <row r="84" spans="7:9" ht="12.75" customHeight="1" thickTop="1">
      <c r="G84" s="141"/>
      <c r="H84" s="142"/>
      <c r="I84" s="180"/>
    </row>
    <row r="85" spans="2:9" ht="15" customHeight="1">
      <c r="B85" s="2" t="s">
        <v>75</v>
      </c>
      <c r="C85" s="2" t="s">
        <v>395</v>
      </c>
      <c r="G85" s="141"/>
      <c r="H85" s="142"/>
      <c r="I85" s="142"/>
    </row>
    <row r="86" spans="7:9" ht="7.5" customHeight="1">
      <c r="G86" s="141"/>
      <c r="H86" s="142"/>
      <c r="I86" s="142"/>
    </row>
    <row r="87" spans="7:11" ht="15" customHeight="1">
      <c r="G87" s="59"/>
      <c r="H87" s="2"/>
      <c r="I87" s="27" t="s">
        <v>392</v>
      </c>
      <c r="J87" s="73"/>
      <c r="K87" s="73"/>
    </row>
    <row r="88" spans="7:11" ht="15" customHeight="1">
      <c r="G88" s="59"/>
      <c r="H88" s="2"/>
      <c r="I88" s="152" t="s">
        <v>393</v>
      </c>
      <c r="J88" s="73"/>
      <c r="K88" s="73"/>
    </row>
    <row r="89" spans="3:11" ht="15" customHeight="1">
      <c r="C89" s="95"/>
      <c r="G89" s="140"/>
      <c r="I89" s="73" t="s">
        <v>19</v>
      </c>
      <c r="J89" s="73"/>
      <c r="K89" s="73"/>
    </row>
    <row r="90" spans="2:12" ht="15.75" thickBot="1">
      <c r="B90" s="2" t="s">
        <v>76</v>
      </c>
      <c r="C90" s="2" t="s">
        <v>202</v>
      </c>
      <c r="G90" s="4"/>
      <c r="I90" s="184">
        <v>21420</v>
      </c>
      <c r="L90" s="4"/>
    </row>
    <row r="91" spans="2:12" ht="16.5" thickBot="1" thickTop="1">
      <c r="B91" s="2" t="s">
        <v>77</v>
      </c>
      <c r="C91" s="2" t="s">
        <v>203</v>
      </c>
      <c r="G91" s="4"/>
      <c r="I91" s="185">
        <v>13782</v>
      </c>
      <c r="L91" s="4"/>
    </row>
    <row r="92" spans="2:12" ht="16.5" thickBot="1" thickTop="1">
      <c r="B92" s="2" t="s">
        <v>78</v>
      </c>
      <c r="C92" s="2" t="s">
        <v>204</v>
      </c>
      <c r="G92" s="4"/>
      <c r="H92" s="2"/>
      <c r="I92" s="184">
        <v>13836</v>
      </c>
      <c r="L92" s="4"/>
    </row>
    <row r="93" spans="7:12" ht="15.75" thickTop="1">
      <c r="G93" s="4"/>
      <c r="H93" s="2"/>
      <c r="I93" s="154"/>
      <c r="L93" s="4"/>
    </row>
    <row r="94" spans="2:12" ht="15.75" thickBot="1">
      <c r="B94" s="2" t="s">
        <v>76</v>
      </c>
      <c r="C94" s="2" t="s">
        <v>474</v>
      </c>
      <c r="G94" s="4"/>
      <c r="I94" s="184">
        <v>14685</v>
      </c>
      <c r="L94" s="4"/>
    </row>
    <row r="95" spans="2:12" ht="16.5" thickBot="1" thickTop="1">
      <c r="B95" s="2" t="s">
        <v>77</v>
      </c>
      <c r="C95" s="2" t="s">
        <v>475</v>
      </c>
      <c r="G95" s="4"/>
      <c r="I95" s="185">
        <v>14685</v>
      </c>
      <c r="L95" s="4"/>
    </row>
    <row r="96" spans="2:12" ht="16.5" thickBot="1" thickTop="1">
      <c r="B96" s="2" t="s">
        <v>78</v>
      </c>
      <c r="C96" s="2" t="s">
        <v>476</v>
      </c>
      <c r="G96" s="4"/>
      <c r="H96" s="2"/>
      <c r="I96" s="184">
        <v>14685</v>
      </c>
      <c r="L96" s="4"/>
    </row>
    <row r="97" spans="7:12" ht="15.75" thickTop="1">
      <c r="G97" s="4"/>
      <c r="H97" s="2"/>
      <c r="I97" s="154"/>
      <c r="L97" s="4"/>
    </row>
    <row r="98" spans="7:12" ht="15">
      <c r="G98" s="4"/>
      <c r="H98" s="2"/>
      <c r="I98" s="154"/>
      <c r="L98" s="4"/>
    </row>
    <row r="99" spans="7:12" ht="15">
      <c r="G99" s="4"/>
      <c r="H99" s="2"/>
      <c r="I99" s="154"/>
      <c r="L99" s="4"/>
    </row>
    <row r="100" spans="7:12" ht="15">
      <c r="G100" s="4"/>
      <c r="H100" s="2"/>
      <c r="I100" s="154"/>
      <c r="L100" s="4"/>
    </row>
    <row r="101" spans="7:12" ht="15">
      <c r="G101" s="4"/>
      <c r="H101" s="2"/>
      <c r="I101" s="154"/>
      <c r="L101" s="4"/>
    </row>
    <row r="102" spans="7:12" ht="15">
      <c r="G102" s="4"/>
      <c r="H102" s="2"/>
      <c r="I102" s="154"/>
      <c r="L102" s="4"/>
    </row>
    <row r="103" spans="7:12" ht="15">
      <c r="G103" s="4"/>
      <c r="H103" s="2"/>
      <c r="I103" s="154"/>
      <c r="L103" s="4"/>
    </row>
    <row r="104" spans="7:12" ht="15">
      <c r="G104" s="4"/>
      <c r="H104" s="2"/>
      <c r="I104" s="154"/>
      <c r="L104" s="4"/>
    </row>
    <row r="105" spans="7:12" ht="15">
      <c r="G105" s="4"/>
      <c r="H105" s="2"/>
      <c r="I105" s="154"/>
      <c r="L105" s="4"/>
    </row>
    <row r="106" spans="7:12" ht="15" customHeight="1">
      <c r="G106" s="4"/>
      <c r="H106" s="2"/>
      <c r="I106" s="154"/>
      <c r="L106" s="4"/>
    </row>
    <row r="107" spans="1:3" ht="15">
      <c r="A107" s="2" t="s">
        <v>65</v>
      </c>
      <c r="B107" s="2" t="s">
        <v>275</v>
      </c>
      <c r="C107" s="153" t="s">
        <v>335</v>
      </c>
    </row>
    <row r="108" ht="15">
      <c r="C108" s="2" t="s">
        <v>337</v>
      </c>
    </row>
    <row r="109" ht="15">
      <c r="C109" s="2" t="s">
        <v>477</v>
      </c>
    </row>
    <row r="110" ht="15">
      <c r="C110" s="2" t="s">
        <v>478</v>
      </c>
    </row>
    <row r="111" spans="2:3" ht="15" customHeight="1">
      <c r="B111" s="60"/>
      <c r="C111" s="2" t="s">
        <v>479</v>
      </c>
    </row>
    <row r="112" spans="2:3" ht="15" customHeight="1">
      <c r="B112" s="60"/>
      <c r="C112" s="2" t="s">
        <v>480</v>
      </c>
    </row>
    <row r="113" spans="2:3" ht="15" customHeight="1">
      <c r="B113" s="60"/>
      <c r="C113" s="2" t="s">
        <v>481</v>
      </c>
    </row>
    <row r="114" ht="15" customHeight="1">
      <c r="B114" s="60"/>
    </row>
    <row r="115" spans="2:3" ht="15" customHeight="1">
      <c r="B115" s="60"/>
      <c r="C115" s="2" t="s">
        <v>482</v>
      </c>
    </row>
    <row r="116" spans="2:3" ht="15" customHeight="1">
      <c r="B116" s="60"/>
      <c r="C116" s="2" t="s">
        <v>483</v>
      </c>
    </row>
    <row r="117" spans="2:3" ht="15" customHeight="1">
      <c r="B117" s="60"/>
      <c r="C117" s="2" t="s">
        <v>484</v>
      </c>
    </row>
    <row r="118" spans="2:3" ht="15" customHeight="1">
      <c r="B118" s="60"/>
      <c r="C118" s="2" t="s">
        <v>485</v>
      </c>
    </row>
    <row r="119" ht="15" customHeight="1">
      <c r="B119" s="60"/>
    </row>
    <row r="120" spans="2:3" ht="15" customHeight="1">
      <c r="B120" s="60"/>
      <c r="C120" s="2" t="s">
        <v>486</v>
      </c>
    </row>
    <row r="121" spans="2:3" ht="15" customHeight="1">
      <c r="B121" s="60"/>
      <c r="C121" s="2" t="s">
        <v>488</v>
      </c>
    </row>
    <row r="122" spans="2:3" ht="15" customHeight="1">
      <c r="B122" s="60"/>
      <c r="C122" s="2" t="s">
        <v>487</v>
      </c>
    </row>
    <row r="123" ht="15" customHeight="1">
      <c r="B123" s="60"/>
    </row>
    <row r="124" spans="2:4" ht="15">
      <c r="B124" s="2" t="s">
        <v>75</v>
      </c>
      <c r="C124" s="2" t="s">
        <v>184</v>
      </c>
      <c r="D124" s="60"/>
    </row>
    <row r="125" spans="3:4" ht="15">
      <c r="C125" s="2" t="s">
        <v>127</v>
      </c>
      <c r="D125" s="60"/>
    </row>
    <row r="126" ht="5.25" customHeight="1">
      <c r="D126" s="60"/>
    </row>
    <row r="127" spans="1:10" ht="15">
      <c r="A127" s="58"/>
      <c r="C127" s="2" t="s">
        <v>252</v>
      </c>
      <c r="G127" s="27"/>
      <c r="H127" s="27"/>
      <c r="J127" s="2"/>
    </row>
    <row r="128" spans="1:10" ht="15">
      <c r="A128" s="58"/>
      <c r="C128" s="2" t="s">
        <v>253</v>
      </c>
      <c r="G128" s="27"/>
      <c r="H128" s="27"/>
      <c r="J128" s="2"/>
    </row>
    <row r="129" spans="1:10" ht="15">
      <c r="A129" s="58"/>
      <c r="C129" s="2" t="s">
        <v>254</v>
      </c>
      <c r="G129" s="27"/>
      <c r="H129" s="27"/>
      <c r="J129" s="2"/>
    </row>
    <row r="130" spans="1:10" ht="15">
      <c r="A130" s="58"/>
      <c r="C130" s="2" t="s">
        <v>334</v>
      </c>
      <c r="G130" s="27"/>
      <c r="H130" s="27"/>
      <c r="J130" s="2"/>
    </row>
    <row r="131" spans="1:10" ht="15">
      <c r="A131" s="58"/>
      <c r="C131" s="2" t="s">
        <v>255</v>
      </c>
      <c r="G131" s="27"/>
      <c r="H131" s="27"/>
      <c r="J131" s="2"/>
    </row>
    <row r="132" spans="1:10" ht="15">
      <c r="A132" s="58"/>
      <c r="C132" s="2" t="s">
        <v>276</v>
      </c>
      <c r="G132" s="27"/>
      <c r="H132" s="27"/>
      <c r="J132" s="2"/>
    </row>
    <row r="133" spans="1:10" ht="15">
      <c r="A133" s="58"/>
      <c r="C133" s="2" t="s">
        <v>256</v>
      </c>
      <c r="G133" s="27"/>
      <c r="H133" s="27"/>
      <c r="J133" s="2"/>
    </row>
    <row r="134" spans="1:10" ht="15">
      <c r="A134" s="58"/>
      <c r="C134" s="2" t="s">
        <v>257</v>
      </c>
      <c r="G134" s="27"/>
      <c r="H134" s="27"/>
      <c r="J134" s="2"/>
    </row>
    <row r="135" spans="1:10" ht="11.25" customHeight="1">
      <c r="A135" s="58"/>
      <c r="G135" s="27"/>
      <c r="H135" s="27"/>
      <c r="J135" s="2"/>
    </row>
    <row r="136" spans="1:10" ht="15">
      <c r="A136" s="58"/>
      <c r="C136" s="2" t="s">
        <v>362</v>
      </c>
      <c r="G136" s="27"/>
      <c r="H136" s="27"/>
      <c r="J136" s="2"/>
    </row>
    <row r="137" spans="1:10" ht="15">
      <c r="A137" s="58"/>
      <c r="C137" s="2" t="s">
        <v>347</v>
      </c>
      <c r="G137" s="27"/>
      <c r="H137" s="27"/>
      <c r="J137" s="2"/>
    </row>
    <row r="138" spans="1:9" ht="10.5" customHeight="1">
      <c r="A138" s="58"/>
      <c r="H138" s="27"/>
      <c r="I138" s="27"/>
    </row>
    <row r="139" spans="3:10" ht="15">
      <c r="C139" s="2" t="s">
        <v>130</v>
      </c>
      <c r="G139" s="27"/>
      <c r="H139" s="27"/>
      <c r="J139" s="2"/>
    </row>
    <row r="140" spans="1:10" ht="15">
      <c r="A140" s="58"/>
      <c r="C140" s="2" t="s">
        <v>193</v>
      </c>
      <c r="G140" s="27"/>
      <c r="H140" s="27"/>
      <c r="J140" s="2"/>
    </row>
    <row r="141" spans="1:10" ht="15">
      <c r="A141" s="58"/>
      <c r="C141" s="2" t="s">
        <v>192</v>
      </c>
      <c r="G141" s="27"/>
      <c r="H141" s="27"/>
      <c r="J141" s="2"/>
    </row>
    <row r="142" spans="1:10" ht="15">
      <c r="A142" s="58"/>
      <c r="C142" s="2" t="s">
        <v>359</v>
      </c>
      <c r="G142" s="27"/>
      <c r="H142" s="27"/>
      <c r="J142" s="2"/>
    </row>
    <row r="143" spans="8:13" ht="10.5" customHeight="1">
      <c r="H143" s="27"/>
      <c r="I143" s="27"/>
      <c r="L143" s="168"/>
      <c r="M143" s="39"/>
    </row>
    <row r="144" spans="3:17" ht="15" customHeight="1">
      <c r="C144" s="173" t="s">
        <v>258</v>
      </c>
      <c r="D144" s="173"/>
      <c r="E144" s="173"/>
      <c r="F144" s="173"/>
      <c r="G144" s="173"/>
      <c r="H144" s="173"/>
      <c r="I144" s="173"/>
      <c r="J144" s="65"/>
      <c r="L144" s="65"/>
      <c r="M144" s="65"/>
      <c r="N144" s="65"/>
      <c r="O144" s="65"/>
      <c r="P144" s="65"/>
      <c r="Q144" s="65"/>
    </row>
    <row r="145" spans="3:17" ht="15" customHeight="1">
      <c r="C145" s="173" t="s">
        <v>259</v>
      </c>
      <c r="D145" s="173"/>
      <c r="E145" s="173"/>
      <c r="F145" s="173"/>
      <c r="G145" s="173"/>
      <c r="H145" s="173"/>
      <c r="I145" s="173"/>
      <c r="J145" s="65"/>
      <c r="L145" s="65"/>
      <c r="M145" s="65"/>
      <c r="N145" s="65"/>
      <c r="O145" s="65"/>
      <c r="P145" s="65"/>
      <c r="Q145" s="65"/>
    </row>
    <row r="146" spans="3:17" ht="15" customHeight="1">
      <c r="C146" s="173" t="s">
        <v>260</v>
      </c>
      <c r="D146" s="173"/>
      <c r="E146" s="173"/>
      <c r="F146" s="173"/>
      <c r="G146" s="173"/>
      <c r="H146" s="173"/>
      <c r="I146" s="173"/>
      <c r="J146" s="65"/>
      <c r="L146" s="65"/>
      <c r="M146" s="65"/>
      <c r="N146" s="65"/>
      <c r="O146" s="65"/>
      <c r="P146" s="65"/>
      <c r="Q146" s="65"/>
    </row>
    <row r="147" spans="3:17" ht="15" customHeight="1">
      <c r="C147" s="173" t="s">
        <v>261</v>
      </c>
      <c r="D147" s="173"/>
      <c r="E147" s="173"/>
      <c r="F147" s="173"/>
      <c r="G147" s="173"/>
      <c r="H147" s="173"/>
      <c r="I147" s="173"/>
      <c r="J147" s="65"/>
      <c r="L147" s="65"/>
      <c r="M147" s="65"/>
      <c r="N147" s="65"/>
      <c r="O147" s="65"/>
      <c r="P147" s="65"/>
      <c r="Q147" s="65"/>
    </row>
    <row r="148" spans="4:13" ht="15" customHeight="1">
      <c r="D148" s="169"/>
      <c r="E148" s="143"/>
      <c r="F148" s="143"/>
      <c r="G148" s="143"/>
      <c r="H148" s="155"/>
      <c r="I148" s="155"/>
      <c r="J148" s="142"/>
      <c r="L148" s="58"/>
      <c r="M148" s="159"/>
    </row>
    <row r="149" spans="3:13" ht="15" customHeight="1">
      <c r="C149" s="173" t="s">
        <v>262</v>
      </c>
      <c r="D149" s="173"/>
      <c r="E149" s="143"/>
      <c r="F149" s="143"/>
      <c r="G149" s="143"/>
      <c r="H149" s="155"/>
      <c r="I149" s="155"/>
      <c r="J149" s="142"/>
      <c r="L149" s="58"/>
      <c r="M149" s="159"/>
    </row>
    <row r="150" spans="3:17" ht="15" customHeight="1">
      <c r="C150" s="173" t="s">
        <v>263</v>
      </c>
      <c r="D150" s="173"/>
      <c r="E150" s="173"/>
      <c r="F150" s="173"/>
      <c r="G150" s="173"/>
      <c r="H150" s="173"/>
      <c r="I150" s="173"/>
      <c r="J150" s="65"/>
      <c r="L150" s="65"/>
      <c r="M150" s="65"/>
      <c r="N150" s="65"/>
      <c r="O150" s="65"/>
      <c r="P150" s="65"/>
      <c r="Q150" s="65"/>
    </row>
    <row r="151" spans="3:17" ht="15" customHeight="1">
      <c r="C151" s="173" t="s">
        <v>264</v>
      </c>
      <c r="D151" s="173"/>
      <c r="E151" s="173"/>
      <c r="F151" s="173"/>
      <c r="G151" s="173"/>
      <c r="H151" s="173"/>
      <c r="I151" s="173"/>
      <c r="J151" s="65"/>
      <c r="L151" s="65"/>
      <c r="M151" s="65"/>
      <c r="N151" s="65"/>
      <c r="O151" s="65"/>
      <c r="P151" s="65"/>
      <c r="Q151" s="65"/>
    </row>
    <row r="152" spans="3:17" ht="15" customHeight="1">
      <c r="C152" s="173" t="s">
        <v>265</v>
      </c>
      <c r="D152" s="173"/>
      <c r="E152" s="173"/>
      <c r="F152" s="173"/>
      <c r="G152" s="173"/>
      <c r="H152" s="173"/>
      <c r="I152" s="173"/>
      <c r="J152" s="65"/>
      <c r="L152" s="65"/>
      <c r="M152" s="65"/>
      <c r="N152" s="65"/>
      <c r="O152" s="65"/>
      <c r="P152" s="65"/>
      <c r="Q152" s="65"/>
    </row>
    <row r="153" spans="3:17" ht="15" customHeight="1">
      <c r="C153" s="173" t="s">
        <v>360</v>
      </c>
      <c r="D153" s="173"/>
      <c r="E153" s="173"/>
      <c r="F153" s="173"/>
      <c r="G153" s="173"/>
      <c r="H153" s="173"/>
      <c r="I153" s="173"/>
      <c r="J153" s="65"/>
      <c r="L153" s="65"/>
      <c r="M153" s="65"/>
      <c r="N153" s="65"/>
      <c r="O153" s="65"/>
      <c r="P153" s="65"/>
      <c r="Q153" s="65"/>
    </row>
    <row r="154" spans="3:17" ht="15" customHeight="1">
      <c r="C154" s="173"/>
      <c r="D154" s="173"/>
      <c r="E154" s="173"/>
      <c r="F154" s="173"/>
      <c r="G154" s="173"/>
      <c r="H154" s="173"/>
      <c r="I154" s="173"/>
      <c r="J154" s="65"/>
      <c r="L154" s="65"/>
      <c r="M154" s="65"/>
      <c r="N154" s="65"/>
      <c r="O154" s="65"/>
      <c r="P154" s="65"/>
      <c r="Q154" s="65"/>
    </row>
    <row r="155" spans="3:17" ht="15" customHeight="1">
      <c r="C155" s="173"/>
      <c r="D155" s="173"/>
      <c r="E155" s="173"/>
      <c r="F155" s="173"/>
      <c r="G155" s="173"/>
      <c r="H155" s="173"/>
      <c r="I155" s="173"/>
      <c r="J155" s="65"/>
      <c r="L155" s="65"/>
      <c r="M155" s="65"/>
      <c r="N155" s="65"/>
      <c r="O155" s="65"/>
      <c r="P155" s="65"/>
      <c r="Q155" s="65"/>
    </row>
    <row r="156" spans="3:17" ht="15" customHeight="1">
      <c r="C156" s="173"/>
      <c r="D156" s="173"/>
      <c r="E156" s="173"/>
      <c r="F156" s="173"/>
      <c r="G156" s="173"/>
      <c r="H156" s="173"/>
      <c r="I156" s="173"/>
      <c r="J156" s="65"/>
      <c r="L156" s="65"/>
      <c r="M156" s="65"/>
      <c r="N156" s="65"/>
      <c r="O156" s="65"/>
      <c r="P156" s="65"/>
      <c r="Q156" s="65"/>
    </row>
    <row r="157" spans="3:17" ht="15" customHeight="1">
      <c r="C157" s="173"/>
      <c r="D157" s="173"/>
      <c r="E157" s="173"/>
      <c r="F157" s="173"/>
      <c r="G157" s="173"/>
      <c r="H157" s="173"/>
      <c r="I157" s="173"/>
      <c r="J157" s="65"/>
      <c r="L157" s="65"/>
      <c r="M157" s="65"/>
      <c r="N157" s="65"/>
      <c r="O157" s="65"/>
      <c r="P157" s="65"/>
      <c r="Q157" s="65"/>
    </row>
    <row r="158" spans="3:17" ht="15" customHeight="1">
      <c r="C158" s="173"/>
      <c r="D158" s="173"/>
      <c r="E158" s="173"/>
      <c r="F158" s="173"/>
      <c r="G158" s="173"/>
      <c r="H158" s="173"/>
      <c r="I158" s="173"/>
      <c r="J158" s="65"/>
      <c r="L158" s="65"/>
      <c r="M158" s="65"/>
      <c r="N158" s="65"/>
      <c r="O158" s="65"/>
      <c r="P158" s="65"/>
      <c r="Q158" s="65"/>
    </row>
    <row r="159" spans="3:17" ht="15" customHeight="1">
      <c r="C159" s="173"/>
      <c r="D159" s="173"/>
      <c r="E159" s="173"/>
      <c r="F159" s="173"/>
      <c r="G159" s="173"/>
      <c r="H159" s="173"/>
      <c r="I159" s="173"/>
      <c r="J159" s="65"/>
      <c r="L159" s="65"/>
      <c r="M159" s="65"/>
      <c r="N159" s="65"/>
      <c r="O159" s="65"/>
      <c r="P159" s="65"/>
      <c r="Q159" s="65"/>
    </row>
    <row r="160" spans="1:17" ht="15" customHeight="1">
      <c r="A160" s="2" t="s">
        <v>65</v>
      </c>
      <c r="B160" s="2" t="s">
        <v>75</v>
      </c>
      <c r="C160" s="173" t="s">
        <v>340</v>
      </c>
      <c r="D160" s="173"/>
      <c r="E160" s="173"/>
      <c r="F160" s="173"/>
      <c r="G160" s="173"/>
      <c r="H160" s="173"/>
      <c r="I160" s="173"/>
      <c r="J160" s="65"/>
      <c r="L160" s="65"/>
      <c r="M160" s="65"/>
      <c r="N160" s="65"/>
      <c r="O160" s="65"/>
      <c r="P160" s="65"/>
      <c r="Q160" s="65"/>
    </row>
    <row r="161" spans="3:17" ht="15" customHeight="1">
      <c r="C161" s="173" t="s">
        <v>341</v>
      </c>
      <c r="D161" s="173"/>
      <c r="E161" s="173"/>
      <c r="F161" s="173"/>
      <c r="G161" s="173"/>
      <c r="H161" s="173"/>
      <c r="I161" s="173"/>
      <c r="J161" s="65"/>
      <c r="L161" s="65"/>
      <c r="M161" s="65"/>
      <c r="N161" s="65"/>
      <c r="O161" s="65"/>
      <c r="P161" s="65"/>
      <c r="Q161" s="65"/>
    </row>
    <row r="162" spans="3:17" ht="15" customHeight="1">
      <c r="C162" s="173" t="s">
        <v>342</v>
      </c>
      <c r="D162" s="173"/>
      <c r="E162" s="173"/>
      <c r="F162" s="173"/>
      <c r="G162" s="173"/>
      <c r="H162" s="173"/>
      <c r="I162" s="173"/>
      <c r="J162" s="65"/>
      <c r="L162" s="65"/>
      <c r="M162" s="65"/>
      <c r="N162" s="65"/>
      <c r="O162" s="65"/>
      <c r="P162" s="65"/>
      <c r="Q162" s="65"/>
    </row>
    <row r="163" spans="3:17" ht="15" customHeight="1">
      <c r="C163" s="173" t="s">
        <v>361</v>
      </c>
      <c r="D163" s="173"/>
      <c r="E163" s="173"/>
      <c r="F163" s="173"/>
      <c r="G163" s="173"/>
      <c r="H163" s="173"/>
      <c r="I163" s="173"/>
      <c r="J163" s="173"/>
      <c r="K163" s="65"/>
      <c r="L163" s="65"/>
      <c r="M163" s="65"/>
      <c r="N163" s="65"/>
      <c r="O163" s="65"/>
      <c r="P163" s="65"/>
      <c r="Q163" s="65"/>
    </row>
    <row r="164" spans="4:17" ht="13.5" customHeight="1">
      <c r="D164" s="173"/>
      <c r="E164" s="173"/>
      <c r="F164" s="173"/>
      <c r="G164" s="173"/>
      <c r="H164" s="173"/>
      <c r="I164" s="173"/>
      <c r="J164" s="173"/>
      <c r="K164" s="65"/>
      <c r="L164" s="65"/>
      <c r="M164" s="65"/>
      <c r="N164" s="65"/>
      <c r="O164" s="65"/>
      <c r="P164" s="65"/>
      <c r="Q164" s="65"/>
    </row>
    <row r="165" spans="3:17" ht="15" customHeight="1">
      <c r="C165" s="173" t="s">
        <v>343</v>
      </c>
      <c r="D165" s="173"/>
      <c r="E165" s="173"/>
      <c r="F165" s="173"/>
      <c r="G165" s="173"/>
      <c r="H165" s="173"/>
      <c r="I165" s="173"/>
      <c r="J165" s="65"/>
      <c r="L165" s="65"/>
      <c r="M165" s="65"/>
      <c r="N165" s="65"/>
      <c r="O165" s="65"/>
      <c r="P165" s="65"/>
      <c r="Q165" s="65"/>
    </row>
    <row r="166" spans="3:17" ht="15" customHeight="1">
      <c r="C166" s="173" t="s">
        <v>344</v>
      </c>
      <c r="D166" s="173"/>
      <c r="E166" s="173"/>
      <c r="F166" s="173"/>
      <c r="G166" s="173"/>
      <c r="H166" s="173"/>
      <c r="I166" s="173"/>
      <c r="J166" s="65"/>
      <c r="L166" s="65"/>
      <c r="M166" s="65"/>
      <c r="N166" s="65"/>
      <c r="O166" s="65"/>
      <c r="P166" s="65"/>
      <c r="Q166" s="65"/>
    </row>
    <row r="167" spans="3:17" ht="15" customHeight="1">
      <c r="C167" s="173"/>
      <c r="D167" s="173"/>
      <c r="E167" s="173"/>
      <c r="F167" s="173"/>
      <c r="G167" s="173"/>
      <c r="H167" s="173"/>
      <c r="I167" s="173"/>
      <c r="J167" s="65"/>
      <c r="L167" s="65"/>
      <c r="M167" s="65"/>
      <c r="N167" s="65"/>
      <c r="O167" s="65"/>
      <c r="P167" s="65"/>
      <c r="Q167" s="65"/>
    </row>
    <row r="168" spans="3:17" ht="15" customHeight="1">
      <c r="C168" s="173" t="s">
        <v>345</v>
      </c>
      <c r="D168" s="173"/>
      <c r="E168" s="173"/>
      <c r="F168" s="173"/>
      <c r="G168" s="173"/>
      <c r="H168" s="173"/>
      <c r="I168" s="173"/>
      <c r="J168" s="65"/>
      <c r="L168" s="65"/>
      <c r="M168" s="65"/>
      <c r="N168" s="65"/>
      <c r="O168" s="65"/>
      <c r="P168" s="65"/>
      <c r="Q168" s="65"/>
    </row>
    <row r="169" spans="3:17" ht="15" customHeight="1">
      <c r="C169" s="173" t="s">
        <v>348</v>
      </c>
      <c r="D169" s="173"/>
      <c r="E169" s="173"/>
      <c r="F169" s="173"/>
      <c r="G169" s="173"/>
      <c r="H169" s="173"/>
      <c r="I169" s="173"/>
      <c r="J169" s="65"/>
      <c r="L169" s="65"/>
      <c r="M169" s="65"/>
      <c r="N169" s="65"/>
      <c r="O169" s="65"/>
      <c r="P169" s="65"/>
      <c r="Q169" s="65"/>
    </row>
    <row r="170" spans="3:17" ht="15" customHeight="1">
      <c r="C170" s="173" t="s">
        <v>349</v>
      </c>
      <c r="D170" s="173"/>
      <c r="E170" s="173"/>
      <c r="F170" s="173"/>
      <c r="G170" s="173"/>
      <c r="H170" s="173"/>
      <c r="I170" s="173"/>
      <c r="J170" s="65"/>
      <c r="L170" s="65"/>
      <c r="M170" s="65"/>
      <c r="N170" s="65"/>
      <c r="O170" s="65"/>
      <c r="P170" s="65"/>
      <c r="Q170" s="65"/>
    </row>
    <row r="171" spans="3:17" ht="15" customHeight="1">
      <c r="C171" s="173" t="s">
        <v>350</v>
      </c>
      <c r="D171" s="173"/>
      <c r="E171" s="173"/>
      <c r="F171" s="173"/>
      <c r="G171" s="173"/>
      <c r="H171" s="173"/>
      <c r="I171" s="173"/>
      <c r="J171" s="65"/>
      <c r="L171" s="65"/>
      <c r="M171" s="65"/>
      <c r="N171" s="65"/>
      <c r="O171" s="65"/>
      <c r="P171" s="65"/>
      <c r="Q171" s="65"/>
    </row>
    <row r="172" spans="3:17" ht="15" customHeight="1">
      <c r="C172" s="173" t="s">
        <v>351</v>
      </c>
      <c r="D172" s="173"/>
      <c r="E172" s="173"/>
      <c r="F172" s="173"/>
      <c r="G172" s="173"/>
      <c r="H172" s="173"/>
      <c r="I172" s="173"/>
      <c r="J172" s="65"/>
      <c r="L172" s="65"/>
      <c r="M172" s="65"/>
      <c r="N172" s="65"/>
      <c r="O172" s="65"/>
      <c r="P172" s="65"/>
      <c r="Q172" s="65"/>
    </row>
    <row r="173" spans="3:17" ht="15" customHeight="1">
      <c r="C173" s="173" t="s">
        <v>9</v>
      </c>
      <c r="D173" s="173"/>
      <c r="E173" s="173"/>
      <c r="F173" s="173"/>
      <c r="G173" s="173"/>
      <c r="H173" s="173"/>
      <c r="I173" s="173"/>
      <c r="J173" s="65"/>
      <c r="L173" s="65"/>
      <c r="M173" s="65"/>
      <c r="N173" s="65"/>
      <c r="O173" s="65"/>
      <c r="P173" s="65"/>
      <c r="Q173" s="65"/>
    </row>
    <row r="174" spans="3:17" ht="15" customHeight="1">
      <c r="C174" s="173" t="s">
        <v>10</v>
      </c>
      <c r="D174" s="173"/>
      <c r="E174" s="173"/>
      <c r="F174" s="173"/>
      <c r="G174" s="173"/>
      <c r="H174" s="173"/>
      <c r="I174" s="173"/>
      <c r="J174" s="65"/>
      <c r="L174" s="65"/>
      <c r="M174" s="65"/>
      <c r="N174" s="65"/>
      <c r="O174" s="65"/>
      <c r="P174" s="65"/>
      <c r="Q174" s="65"/>
    </row>
    <row r="175" spans="3:17" ht="15" customHeight="1">
      <c r="C175" s="173" t="s">
        <v>11</v>
      </c>
      <c r="D175" s="173"/>
      <c r="E175" s="173"/>
      <c r="F175" s="173"/>
      <c r="G175" s="173"/>
      <c r="H175" s="173"/>
      <c r="I175" s="173"/>
      <c r="J175" s="65"/>
      <c r="L175" s="65"/>
      <c r="M175" s="65"/>
      <c r="N175" s="65"/>
      <c r="O175" s="65"/>
      <c r="P175" s="65"/>
      <c r="Q175" s="65"/>
    </row>
    <row r="176" spans="3:17" ht="15" customHeight="1">
      <c r="C176" s="173" t="s">
        <v>8</v>
      </c>
      <c r="D176" s="173"/>
      <c r="E176" s="173"/>
      <c r="F176" s="173"/>
      <c r="G176" s="173"/>
      <c r="H176" s="173"/>
      <c r="I176" s="173"/>
      <c r="J176" s="65"/>
      <c r="L176" s="65"/>
      <c r="M176" s="65"/>
      <c r="N176" s="65"/>
      <c r="O176" s="65"/>
      <c r="P176" s="65"/>
      <c r="Q176" s="65"/>
    </row>
    <row r="177" spans="5:13" ht="15" customHeight="1">
      <c r="E177" s="169"/>
      <c r="F177" s="143"/>
      <c r="G177" s="143"/>
      <c r="H177" s="155"/>
      <c r="I177" s="155"/>
      <c r="J177" s="142"/>
      <c r="L177" s="58"/>
      <c r="M177" s="159"/>
    </row>
    <row r="178" spans="3:13" ht="15" customHeight="1">
      <c r="C178" s="2" t="s">
        <v>453</v>
      </c>
      <c r="G178" s="27"/>
      <c r="H178" s="27"/>
      <c r="I178" s="142"/>
      <c r="J178" s="153"/>
      <c r="L178" s="58"/>
      <c r="M178" s="159"/>
    </row>
    <row r="179" spans="3:13" ht="15" customHeight="1">
      <c r="C179" s="2" t="s">
        <v>338</v>
      </c>
      <c r="G179" s="153"/>
      <c r="H179" s="152"/>
      <c r="I179" s="142"/>
      <c r="J179" s="2"/>
      <c r="L179" s="58"/>
      <c r="M179" s="159"/>
    </row>
    <row r="180" spans="3:13" ht="15" customHeight="1">
      <c r="C180" s="2" t="s">
        <v>339</v>
      </c>
      <c r="G180" s="153"/>
      <c r="H180" s="152"/>
      <c r="I180" s="180"/>
      <c r="J180" s="2"/>
      <c r="L180" s="58"/>
      <c r="M180" s="159"/>
    </row>
    <row r="181" spans="3:13" ht="15" customHeight="1">
      <c r="C181" s="153" t="s">
        <v>441</v>
      </c>
      <c r="G181" s="153"/>
      <c r="H181" s="152"/>
      <c r="I181" s="180"/>
      <c r="J181" s="153"/>
      <c r="L181" s="58"/>
      <c r="M181" s="159"/>
    </row>
    <row r="182" spans="4:13" ht="12" customHeight="1">
      <c r="D182" s="169"/>
      <c r="E182" s="143"/>
      <c r="F182" s="143"/>
      <c r="G182" s="143"/>
      <c r="H182" s="155"/>
      <c r="I182" s="155"/>
      <c r="J182" s="142"/>
      <c r="L182" s="58"/>
      <c r="M182" s="159"/>
    </row>
    <row r="183" spans="1:12" ht="15">
      <c r="A183" s="2" t="s">
        <v>68</v>
      </c>
      <c r="B183" s="2" t="s">
        <v>385</v>
      </c>
      <c r="E183" s="59"/>
      <c r="F183" s="59"/>
      <c r="G183" s="27"/>
      <c r="I183" s="27"/>
      <c r="J183" s="27"/>
      <c r="K183" s="68"/>
      <c r="L183" s="59"/>
    </row>
    <row r="184" spans="5:12" ht="15">
      <c r="E184" s="59"/>
      <c r="F184" s="151"/>
      <c r="G184" s="152"/>
      <c r="I184" s="152" t="s">
        <v>19</v>
      </c>
      <c r="J184" s="27"/>
      <c r="K184" s="68"/>
      <c r="L184" s="59"/>
    </row>
    <row r="185" spans="2:12" ht="15">
      <c r="B185" s="2" t="s">
        <v>12</v>
      </c>
      <c r="E185" s="59"/>
      <c r="F185" s="151"/>
      <c r="G185" s="152"/>
      <c r="I185" s="27"/>
      <c r="J185" s="27"/>
      <c r="K185" s="68"/>
      <c r="L185" s="59"/>
    </row>
    <row r="186" spans="3:12" ht="15">
      <c r="C186" s="2" t="s">
        <v>13</v>
      </c>
      <c r="E186" s="178" t="s">
        <v>14</v>
      </c>
      <c r="F186" s="151"/>
      <c r="G186" s="152"/>
      <c r="I186" s="187">
        <v>102500</v>
      </c>
      <c r="J186" s="27"/>
      <c r="K186" s="68"/>
      <c r="L186" s="59"/>
    </row>
    <row r="187" spans="2:12" ht="15">
      <c r="B187" s="2" t="s">
        <v>15</v>
      </c>
      <c r="E187" s="59"/>
      <c r="F187" s="151"/>
      <c r="G187" s="152"/>
      <c r="I187" s="152"/>
      <c r="J187" s="27"/>
      <c r="K187" s="68"/>
      <c r="L187" s="59"/>
    </row>
    <row r="188" spans="3:12" ht="15">
      <c r="C188" s="2" t="s">
        <v>13</v>
      </c>
      <c r="E188" s="178" t="s">
        <v>14</v>
      </c>
      <c r="F188" s="151"/>
      <c r="G188" s="152"/>
      <c r="I188" s="188">
        <v>472500</v>
      </c>
      <c r="J188" s="27"/>
      <c r="K188" s="68"/>
      <c r="L188" s="59"/>
    </row>
    <row r="189" spans="2:12" ht="15.75" thickBot="1">
      <c r="B189" s="2" t="s">
        <v>37</v>
      </c>
      <c r="E189" s="59"/>
      <c r="F189" s="151"/>
      <c r="G189" s="152"/>
      <c r="I189" s="179">
        <f>+I186+I188</f>
        <v>575000</v>
      </c>
      <c r="J189" s="27"/>
      <c r="K189" s="68"/>
      <c r="L189" s="59"/>
    </row>
    <row r="190" spans="5:12" ht="4.5" customHeight="1" thickTop="1">
      <c r="E190" s="59"/>
      <c r="F190" s="151"/>
      <c r="G190" s="152"/>
      <c r="I190" s="140"/>
      <c r="J190" s="27"/>
      <c r="K190" s="68"/>
      <c r="L190" s="59"/>
    </row>
    <row r="191" spans="5:12" ht="13.5" customHeight="1">
      <c r="E191" s="59"/>
      <c r="F191" s="59"/>
      <c r="G191" s="27"/>
      <c r="I191" s="27"/>
      <c r="J191" s="152"/>
      <c r="K191" s="68"/>
      <c r="L191" s="59"/>
    </row>
    <row r="192" spans="1:2" ht="15">
      <c r="A192" s="2" t="s">
        <v>69</v>
      </c>
      <c r="B192" s="2" t="s">
        <v>159</v>
      </c>
    </row>
    <row r="193" ht="15">
      <c r="B193" s="2" t="s">
        <v>160</v>
      </c>
    </row>
    <row r="194" ht="11.25" customHeight="1"/>
    <row r="195" spans="1:2" ht="15">
      <c r="A195" s="2" t="s">
        <v>70</v>
      </c>
      <c r="B195" s="2" t="s">
        <v>158</v>
      </c>
    </row>
    <row r="196" ht="15">
      <c r="B196" s="2" t="s">
        <v>44</v>
      </c>
    </row>
    <row r="197" ht="15" customHeight="1"/>
    <row r="198" spans="1:7" ht="15">
      <c r="A198" s="2" t="s">
        <v>71</v>
      </c>
      <c r="B198" s="2" t="s">
        <v>454</v>
      </c>
      <c r="G198" s="153"/>
    </row>
    <row r="199" spans="2:10" ht="15">
      <c r="B199" s="2" t="s">
        <v>490</v>
      </c>
      <c r="J199" s="28"/>
    </row>
    <row r="200" spans="2:10" ht="15">
      <c r="B200" s="2" t="s">
        <v>491</v>
      </c>
      <c r="F200" s="153"/>
      <c r="J200" s="28"/>
    </row>
    <row r="201" ht="15" customHeight="1"/>
    <row r="202" ht="15" customHeight="1">
      <c r="B202" s="2" t="s">
        <v>386</v>
      </c>
    </row>
    <row r="203" ht="15" customHeight="1">
      <c r="B203" s="2" t="s">
        <v>387</v>
      </c>
    </row>
    <row r="204" ht="15" customHeight="1">
      <c r="B204" s="2" t="s">
        <v>396</v>
      </c>
    </row>
    <row r="205" ht="15" customHeight="1">
      <c r="B205" s="2" t="s">
        <v>388</v>
      </c>
    </row>
    <row r="206" spans="2:6" ht="15" customHeight="1">
      <c r="B206" s="2" t="s">
        <v>458</v>
      </c>
      <c r="C206" s="153"/>
      <c r="F206" s="153"/>
    </row>
    <row r="207" ht="15" customHeight="1">
      <c r="B207" s="2" t="s">
        <v>459</v>
      </c>
    </row>
    <row r="208" ht="15" customHeight="1"/>
    <row r="209" ht="15" customHeight="1"/>
    <row r="210" ht="15" customHeight="1"/>
    <row r="211" ht="15" customHeight="1"/>
    <row r="212" ht="15" customHeight="1"/>
    <row r="213" spans="1:12" ht="15" customHeight="1">
      <c r="A213" s="2" t="s">
        <v>71</v>
      </c>
      <c r="B213" s="146" t="s">
        <v>16</v>
      </c>
      <c r="C213" s="149"/>
      <c r="D213" s="149"/>
      <c r="E213" s="153"/>
      <c r="F213" s="153"/>
      <c r="G213" s="153"/>
      <c r="H213" s="28"/>
      <c r="I213" s="28"/>
      <c r="J213" s="28"/>
      <c r="K213" s="153"/>
      <c r="L213" s="58"/>
    </row>
    <row r="214" spans="2:12" ht="15" customHeight="1">
      <c r="B214" s="146" t="s">
        <v>495</v>
      </c>
      <c r="C214" s="149"/>
      <c r="D214" s="149"/>
      <c r="E214" s="153"/>
      <c r="F214" s="153"/>
      <c r="G214" s="153"/>
      <c r="H214" s="28"/>
      <c r="I214" s="28"/>
      <c r="J214" s="28"/>
      <c r="K214" s="153"/>
      <c r="L214" s="58"/>
    </row>
    <row r="215" spans="2:11" ht="15" customHeight="1">
      <c r="B215" s="153" t="s">
        <v>455</v>
      </c>
      <c r="C215" s="153"/>
      <c r="D215" s="153"/>
      <c r="E215" s="153"/>
      <c r="F215" s="153"/>
      <c r="G215" s="153"/>
      <c r="H215" s="28"/>
      <c r="I215" s="28"/>
      <c r="J215" s="28"/>
      <c r="K215" s="153"/>
    </row>
    <row r="216" spans="2:11" ht="15" customHeight="1">
      <c r="B216" s="153" t="s">
        <v>497</v>
      </c>
      <c r="C216" s="153"/>
      <c r="D216" s="153"/>
      <c r="E216" s="153"/>
      <c r="F216" s="153"/>
      <c r="G216" s="153"/>
      <c r="H216" s="28"/>
      <c r="I216" s="28"/>
      <c r="J216" s="28"/>
      <c r="K216" s="153"/>
    </row>
    <row r="217" spans="2:11" ht="15" customHeight="1">
      <c r="B217" s="213" t="s">
        <v>498</v>
      </c>
      <c r="C217" s="153"/>
      <c r="D217" s="153"/>
      <c r="E217" s="153"/>
      <c r="F217" s="153"/>
      <c r="G217" s="153"/>
      <c r="H217" s="28"/>
      <c r="I217" s="28"/>
      <c r="J217" s="28"/>
      <c r="K217" s="153"/>
    </row>
    <row r="218" spans="2:10" ht="11.25" customHeight="1">
      <c r="B218" s="153"/>
      <c r="C218" s="153"/>
      <c r="D218" s="153"/>
      <c r="E218" s="153"/>
      <c r="F218" s="153"/>
      <c r="G218" s="153"/>
      <c r="H218" s="28"/>
      <c r="I218" s="28"/>
      <c r="J218" s="28"/>
    </row>
    <row r="219" spans="2:10" ht="15" customHeight="1">
      <c r="B219" s="153" t="s">
        <v>266</v>
      </c>
      <c r="C219" s="153"/>
      <c r="D219" s="153"/>
      <c r="E219" s="153"/>
      <c r="F219" s="153"/>
      <c r="G219" s="153"/>
      <c r="H219" s="28"/>
      <c r="I219" s="28"/>
      <c r="J219" s="28"/>
    </row>
    <row r="220" spans="2:10" ht="3.75" customHeight="1">
      <c r="B220" s="153"/>
      <c r="C220" s="153"/>
      <c r="D220" s="153"/>
      <c r="E220" s="153"/>
      <c r="F220" s="153"/>
      <c r="G220" s="153"/>
      <c r="H220" s="28"/>
      <c r="I220" s="28"/>
      <c r="J220" s="28"/>
    </row>
    <row r="221" spans="2:10" ht="15" customHeight="1">
      <c r="B221" s="153" t="s">
        <v>267</v>
      </c>
      <c r="C221" s="153" t="s">
        <v>496</v>
      </c>
      <c r="D221" s="153"/>
      <c r="E221" s="153"/>
      <c r="F221" s="153"/>
      <c r="G221" s="153"/>
      <c r="H221" s="28"/>
      <c r="I221" s="28"/>
      <c r="J221" s="28"/>
    </row>
    <row r="222" spans="2:10" ht="15" customHeight="1">
      <c r="B222" s="153"/>
      <c r="C222" s="153" t="s">
        <v>268</v>
      </c>
      <c r="D222" s="153"/>
      <c r="E222" s="153"/>
      <c r="F222" s="153"/>
      <c r="G222" s="153"/>
      <c r="H222" s="28"/>
      <c r="I222" s="28"/>
      <c r="J222" s="28"/>
    </row>
    <row r="223" ht="6" customHeight="1"/>
    <row r="224" spans="2:3" ht="15" customHeight="1">
      <c r="B224" s="2" t="s">
        <v>269</v>
      </c>
      <c r="C224" s="2" t="s">
        <v>270</v>
      </c>
    </row>
    <row r="225" ht="15" customHeight="1"/>
    <row r="226" ht="9.75" customHeight="1"/>
    <row r="227" spans="1:2" ht="15">
      <c r="A227" s="2" t="s">
        <v>72</v>
      </c>
      <c r="B227" s="2" t="s">
        <v>271</v>
      </c>
    </row>
    <row r="228" spans="9:11" ht="2.25" customHeight="1">
      <c r="I228" s="128"/>
      <c r="J228" s="129"/>
      <c r="K228" s="78"/>
    </row>
    <row r="229" spans="7:11" ht="15" customHeight="1">
      <c r="G229" s="212" t="s">
        <v>150</v>
      </c>
      <c r="H229" s="212"/>
      <c r="I229" s="212"/>
      <c r="J229" s="212"/>
      <c r="K229" s="78"/>
    </row>
    <row r="230" spans="7:11" ht="15" customHeight="1">
      <c r="G230" s="199" t="s">
        <v>132</v>
      </c>
      <c r="H230" s="199"/>
      <c r="I230" s="199" t="s">
        <v>134</v>
      </c>
      <c r="J230" s="199"/>
      <c r="K230" s="78"/>
    </row>
    <row r="231" spans="7:11" ht="15" customHeight="1">
      <c r="G231" s="199" t="s">
        <v>131</v>
      </c>
      <c r="H231" s="199"/>
      <c r="I231" s="199" t="s">
        <v>133</v>
      </c>
      <c r="J231" s="199"/>
      <c r="K231" s="78"/>
    </row>
    <row r="232" spans="7:11" ht="15" customHeight="1">
      <c r="G232" s="27" t="str">
        <f>+PL!H10</f>
        <v>30-4-2006</v>
      </c>
      <c r="H232" s="27" t="str">
        <f>+PL!I10</f>
        <v>30-4-2005</v>
      </c>
      <c r="I232" s="27" t="str">
        <f>+G232</f>
        <v>30-4-2006</v>
      </c>
      <c r="J232" s="27" t="str">
        <f>+H232</f>
        <v>30-4-2005</v>
      </c>
      <c r="K232" s="78"/>
    </row>
    <row r="233" spans="2:11" ht="15" customHeight="1">
      <c r="B233" s="2" t="s">
        <v>239</v>
      </c>
      <c r="G233" s="154">
        <f>+PL!F29</f>
        <v>136894</v>
      </c>
      <c r="H233" s="79">
        <v>79344</v>
      </c>
      <c r="K233" s="78"/>
    </row>
    <row r="234" spans="2:11" ht="15" customHeight="1">
      <c r="B234" s="2" t="s">
        <v>141</v>
      </c>
      <c r="G234" s="65"/>
      <c r="H234" s="79"/>
      <c r="K234" s="78"/>
    </row>
    <row r="235" spans="2:11" ht="15" customHeight="1">
      <c r="B235" s="2" t="s">
        <v>142</v>
      </c>
      <c r="G235" s="65">
        <v>0</v>
      </c>
      <c r="H235" s="79">
        <v>2923</v>
      </c>
      <c r="K235" s="78"/>
    </row>
    <row r="236" spans="2:11" ht="15" customHeight="1" thickBot="1">
      <c r="B236" s="2" t="s">
        <v>143</v>
      </c>
      <c r="G236" s="77">
        <f>+G233+G235</f>
        <v>136894</v>
      </c>
      <c r="H236" s="106">
        <f>+H233+H235</f>
        <v>82267</v>
      </c>
      <c r="K236" s="78"/>
    </row>
    <row r="237" spans="2:11" ht="15" customHeight="1" thickBot="1" thickTop="1">
      <c r="B237" s="2" t="s">
        <v>135</v>
      </c>
      <c r="G237" s="39"/>
      <c r="H237" s="72"/>
      <c r="I237" s="183">
        <f>+G233/G240*100</f>
        <v>10.741207163734087</v>
      </c>
      <c r="J237" s="171">
        <f>+H233/H240*100</f>
        <v>7.301149408364337</v>
      </c>
      <c r="K237" s="78"/>
    </row>
    <row r="238" spans="9:11" ht="6.75" customHeight="1" thickTop="1">
      <c r="I238" s="128"/>
      <c r="J238" s="129"/>
      <c r="K238" s="78"/>
    </row>
    <row r="239" spans="2:11" ht="15" customHeight="1">
      <c r="B239" s="2" t="s">
        <v>138</v>
      </c>
      <c r="G239" s="39"/>
      <c r="H239" s="72"/>
      <c r="I239" s="27"/>
      <c r="J239" s="27"/>
      <c r="K239" s="78"/>
    </row>
    <row r="240" spans="2:11" ht="15" customHeight="1">
      <c r="B240" s="2" t="s">
        <v>139</v>
      </c>
      <c r="G240" s="149">
        <v>1274475</v>
      </c>
      <c r="H240" s="72">
        <v>1086733</v>
      </c>
      <c r="I240" s="27"/>
      <c r="J240" s="27"/>
      <c r="K240" s="78"/>
    </row>
    <row r="241" spans="2:11" ht="15" customHeight="1">
      <c r="B241" s="2" t="s">
        <v>144</v>
      </c>
      <c r="G241" s="166">
        <v>0</v>
      </c>
      <c r="H241" s="125">
        <v>139408</v>
      </c>
      <c r="I241" s="78"/>
      <c r="K241" s="78"/>
    </row>
    <row r="242" spans="2:11" ht="15" customHeight="1">
      <c r="B242" s="2" t="s">
        <v>136</v>
      </c>
      <c r="G242" s="65"/>
      <c r="H242" s="79"/>
      <c r="I242" s="78"/>
      <c r="K242" s="78"/>
    </row>
    <row r="243" spans="2:11" ht="15" customHeight="1" thickBot="1">
      <c r="B243" s="2" t="s">
        <v>140</v>
      </c>
      <c r="G243" s="76">
        <f>SUM(G240:G241)</f>
        <v>1274475</v>
      </c>
      <c r="H243" s="76">
        <f>SUM(H240:H241)</f>
        <v>1226141</v>
      </c>
      <c r="I243" s="78"/>
      <c r="K243" s="78"/>
    </row>
    <row r="244" spans="2:11" ht="15" customHeight="1" thickBot="1" thickTop="1">
      <c r="B244" s="2" t="s">
        <v>137</v>
      </c>
      <c r="I244" s="181" t="s">
        <v>336</v>
      </c>
      <c r="J244" s="126">
        <f>+H236/H243*100</f>
        <v>6.709424120064495</v>
      </c>
      <c r="K244" s="78"/>
    </row>
    <row r="245" spans="9:11" ht="11.25" customHeight="1" thickTop="1">
      <c r="I245" s="128"/>
      <c r="J245" s="129"/>
      <c r="K245" s="78"/>
    </row>
    <row r="246" spans="7:11" ht="15" customHeight="1">
      <c r="G246" s="212" t="s">
        <v>389</v>
      </c>
      <c r="H246" s="212"/>
      <c r="I246" s="212"/>
      <c r="J246" s="212"/>
      <c r="K246" s="78"/>
    </row>
    <row r="247" spans="7:11" ht="15" customHeight="1">
      <c r="G247" s="199" t="s">
        <v>132</v>
      </c>
      <c r="H247" s="199"/>
      <c r="I247" s="199" t="s">
        <v>134</v>
      </c>
      <c r="J247" s="199"/>
      <c r="K247" s="78"/>
    </row>
    <row r="248" spans="7:11" ht="15" customHeight="1">
      <c r="G248" s="199" t="s">
        <v>131</v>
      </c>
      <c r="H248" s="199"/>
      <c r="I248" s="199" t="s">
        <v>133</v>
      </c>
      <c r="J248" s="199"/>
      <c r="K248" s="78"/>
    </row>
    <row r="249" spans="7:11" ht="15" customHeight="1">
      <c r="G249" s="27" t="str">
        <f>+G232</f>
        <v>30-4-2006</v>
      </c>
      <c r="H249" s="27" t="str">
        <f>+H232</f>
        <v>30-4-2005</v>
      </c>
      <c r="I249" s="27" t="str">
        <f>+G249</f>
        <v>30-4-2006</v>
      </c>
      <c r="J249" s="27" t="str">
        <f>+H249</f>
        <v>30-4-2005</v>
      </c>
      <c r="K249" s="78"/>
    </row>
    <row r="250" spans="2:11" ht="15" customHeight="1">
      <c r="B250" s="2" t="s">
        <v>390</v>
      </c>
      <c r="G250" s="154">
        <f>+PL!H29</f>
        <v>443030</v>
      </c>
      <c r="H250" s="79">
        <f>+PL!I29</f>
        <v>328156</v>
      </c>
      <c r="K250" s="78"/>
    </row>
    <row r="251" spans="2:11" ht="15" customHeight="1">
      <c r="B251" s="2" t="s">
        <v>141</v>
      </c>
      <c r="G251" s="65"/>
      <c r="H251" s="79"/>
      <c r="K251" s="78"/>
    </row>
    <row r="252" spans="2:11" ht="15" customHeight="1">
      <c r="B252" s="2" t="s">
        <v>142</v>
      </c>
      <c r="G252" s="65">
        <v>0</v>
      </c>
      <c r="H252" s="79">
        <v>11989</v>
      </c>
      <c r="K252" s="78"/>
    </row>
    <row r="253" spans="2:11" ht="15" customHeight="1" thickBot="1">
      <c r="B253" s="2" t="s">
        <v>391</v>
      </c>
      <c r="G253" s="77">
        <f>+G250+G252</f>
        <v>443030</v>
      </c>
      <c r="H253" s="106">
        <f>+H250+H252</f>
        <v>340145</v>
      </c>
      <c r="K253" s="78"/>
    </row>
    <row r="254" spans="2:11" ht="15" customHeight="1" thickBot="1" thickTop="1">
      <c r="B254" s="2" t="s">
        <v>135</v>
      </c>
      <c r="G254" s="39"/>
      <c r="H254" s="72"/>
      <c r="I254" s="183">
        <f>+G250/G257*100</f>
        <v>36.137453322218214</v>
      </c>
      <c r="J254" s="171">
        <f>+H250/H257*100</f>
        <v>32.57555076640239</v>
      </c>
      <c r="K254" s="78"/>
    </row>
    <row r="255" spans="9:11" ht="6" customHeight="1" thickTop="1">
      <c r="I255" s="128"/>
      <c r="J255" s="129"/>
      <c r="K255" s="78"/>
    </row>
    <row r="256" spans="2:11" ht="15" customHeight="1">
      <c r="B256" s="2" t="s">
        <v>138</v>
      </c>
      <c r="G256" s="39"/>
      <c r="H256" s="72"/>
      <c r="I256" s="27"/>
      <c r="J256" s="27"/>
      <c r="K256" s="78"/>
    </row>
    <row r="257" spans="2:11" ht="15" customHeight="1">
      <c r="B257" s="2" t="s">
        <v>139</v>
      </c>
      <c r="G257" s="149">
        <v>1225958</v>
      </c>
      <c r="H257" s="72">
        <v>1007369</v>
      </c>
      <c r="I257" s="27"/>
      <c r="J257" s="27"/>
      <c r="K257" s="78"/>
    </row>
    <row r="258" spans="2:11" ht="15" customHeight="1">
      <c r="B258" s="2" t="s">
        <v>144</v>
      </c>
      <c r="G258" s="166">
        <v>0</v>
      </c>
      <c r="H258" s="125">
        <v>139408</v>
      </c>
      <c r="I258" s="78"/>
      <c r="K258" s="78"/>
    </row>
    <row r="259" spans="2:11" ht="15" customHeight="1">
      <c r="B259" s="2" t="s">
        <v>136</v>
      </c>
      <c r="G259" s="65"/>
      <c r="H259" s="79"/>
      <c r="I259" s="78"/>
      <c r="K259" s="78"/>
    </row>
    <row r="260" spans="2:11" ht="15" customHeight="1" thickBot="1">
      <c r="B260" s="2" t="s">
        <v>140</v>
      </c>
      <c r="G260" s="76">
        <f>SUM(G257:G258)</f>
        <v>1225958</v>
      </c>
      <c r="H260" s="76">
        <f>SUM(H257:H258)</f>
        <v>1146777</v>
      </c>
      <c r="I260" s="78"/>
      <c r="K260" s="78"/>
    </row>
    <row r="261" spans="2:11" ht="15" customHeight="1" thickBot="1" thickTop="1">
      <c r="B261" s="2" t="s">
        <v>137</v>
      </c>
      <c r="I261" s="181" t="s">
        <v>336</v>
      </c>
      <c r="J261" s="126">
        <f>+H253/H260*100</f>
        <v>29.660954134936436</v>
      </c>
      <c r="K261" s="78"/>
    </row>
    <row r="262" spans="9:11" ht="15" customHeight="1" thickTop="1">
      <c r="I262" s="128"/>
      <c r="J262" s="129"/>
      <c r="K262" s="78"/>
    </row>
    <row r="263" spans="9:11" ht="15" customHeight="1">
      <c r="I263" s="128"/>
      <c r="J263" s="129"/>
      <c r="K263" s="78"/>
    </row>
    <row r="264" spans="9:11" ht="15" customHeight="1">
      <c r="I264" s="128"/>
      <c r="J264" s="129"/>
      <c r="K264" s="78"/>
    </row>
    <row r="265" spans="1:11" ht="15" customHeight="1">
      <c r="A265" s="2" t="s">
        <v>85</v>
      </c>
      <c r="I265" s="128"/>
      <c r="J265" s="129"/>
      <c r="K265" s="78"/>
    </row>
    <row r="266" spans="2:11" ht="15" customHeight="1">
      <c r="B266" s="2" t="s">
        <v>86</v>
      </c>
      <c r="I266" s="128"/>
      <c r="J266" s="129"/>
      <c r="K266" s="78"/>
    </row>
    <row r="280" ht="15">
      <c r="J280" s="27"/>
    </row>
  </sheetData>
  <mergeCells count="10">
    <mergeCell ref="G229:J229"/>
    <mergeCell ref="G230:H230"/>
    <mergeCell ref="I230:J230"/>
    <mergeCell ref="G231:H231"/>
    <mergeCell ref="I231:J231"/>
    <mergeCell ref="G246:J246"/>
    <mergeCell ref="G247:H247"/>
    <mergeCell ref="I247:J247"/>
    <mergeCell ref="G248:H248"/>
    <mergeCell ref="I248:J248"/>
  </mergeCells>
  <printOptions/>
  <pageMargins left="0.68" right="0.08" top="0.86" bottom="0.81" header="0.5" footer="0.5"/>
  <pageSetup firstPageNumber="9" useFirstPageNumber="1" horizontalDpi="600" verticalDpi="600" orientation="portrait" paperSize="9" scale="95" r:id="rId1"/>
  <headerFooter alignWithMargins="0">
    <oddHeader>&amp;R&amp;"Arial,Bold"Berjaya Sports Toto Berhad&amp;U
&amp;9&amp;U(&amp;"Arial,Regular"Company No. 9109-K)
Quarterly Report 30-4-2006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scwong</cp:lastModifiedBy>
  <cp:lastPrinted>2006-06-19T02:47:29Z</cp:lastPrinted>
  <dcterms:created xsi:type="dcterms:W3CDTF">1996-10-14T23:33:28Z</dcterms:created>
  <dcterms:modified xsi:type="dcterms:W3CDTF">2006-06-19T07:48:29Z</dcterms:modified>
  <cp:category/>
  <cp:version/>
  <cp:contentType/>
  <cp:contentStatus/>
</cp:coreProperties>
</file>