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9720" windowHeight="7320" activeTab="6"/>
  </bookViews>
  <sheets>
    <sheet name="PL" sheetId="1" r:id="rId1"/>
    <sheet name="Cover" sheetId="2" r:id="rId2"/>
    <sheet name="BS" sheetId="3" r:id="rId3"/>
    <sheet name="SICE" sheetId="4" r:id="rId4"/>
    <sheet name="CF" sheetId="5" r:id="rId5"/>
    <sheet name="Notes" sheetId="6" r:id="rId6"/>
    <sheet name="Notes (2)" sheetId="7" r:id="rId7"/>
  </sheets>
  <definedNames>
    <definedName name="_xlnm.Print_Area" localSheetId="2">'BS'!$A$1:$K$61</definedName>
    <definedName name="_xlnm.Print_Area" localSheetId="4">'CF'!$A$1:$J$59</definedName>
    <definedName name="_xlnm.Print_Area" localSheetId="5">'Notes'!$A$1:$P$178</definedName>
    <definedName name="_xlnm.Print_Area" localSheetId="6">'Notes (2)'!$A$1:$L$268</definedName>
    <definedName name="_xlnm.Print_Area" localSheetId="0">'PL'!$A$1:$I$53</definedName>
    <definedName name="_xlnm.Print_Area" localSheetId="3">'SICE'!$A$1:$L$58</definedName>
  </definedNames>
  <calcPr fullCalcOnLoad="1"/>
</workbook>
</file>

<file path=xl/sharedStrings.xml><?xml version="1.0" encoding="utf-8"?>
<sst xmlns="http://schemas.openxmlformats.org/spreadsheetml/2006/main" count="575" uniqueCount="488">
  <si>
    <t>inter-company balances owing to the Company.</t>
  </si>
  <si>
    <t>exchangeable into ordinary shares of the Company which are held by BLB. BLB has advised that based</t>
  </si>
  <si>
    <t>on its current estimation, approximately RM387 million from the gross proceeds raised pursuant to the</t>
  </si>
  <si>
    <t>proposed Exchangeable Bonds issue will be allocated for the part repayment of the outstanding</t>
  </si>
  <si>
    <t>Short term borrowings :</t>
  </si>
  <si>
    <t>Unsecured</t>
  </si>
  <si>
    <t>Denominated in Ringgit Malaysia</t>
  </si>
  <si>
    <t>Long term borrowings :</t>
  </si>
  <si>
    <t>Based on the number of RM0.50 fully paid ordinary shares in issue and with voting rights as at</t>
  </si>
  <si>
    <t>8 - 12</t>
  </si>
  <si>
    <t>5 - 7</t>
  </si>
  <si>
    <t xml:space="preserve">Distribution of dividends </t>
  </si>
  <si>
    <t>3 months ended</t>
  </si>
  <si>
    <t>RM'000</t>
  </si>
  <si>
    <t>REVENUE</t>
  </si>
  <si>
    <t>Finance costs</t>
  </si>
  <si>
    <t>PROFIT BEFORE TAXATION</t>
  </si>
  <si>
    <t>TAXATION</t>
  </si>
  <si>
    <t>PROFIT AFTER TAXATION</t>
  </si>
  <si>
    <t xml:space="preserve"> -Diluted</t>
  </si>
  <si>
    <t xml:space="preserve"> </t>
  </si>
  <si>
    <t>CURRENT ASSETS</t>
  </si>
  <si>
    <t>Cash and bank balances</t>
  </si>
  <si>
    <t>CURRENT LIABILITIES</t>
  </si>
  <si>
    <t>Short term borrowings</t>
  </si>
  <si>
    <t>Taxation</t>
  </si>
  <si>
    <t>NET CURRENT ASSETS</t>
  </si>
  <si>
    <t>FINANCED BY:-</t>
  </si>
  <si>
    <t>SHARE CAPITAL</t>
  </si>
  <si>
    <t>Non-</t>
  </si>
  <si>
    <t>Distributable</t>
  </si>
  <si>
    <t>Total</t>
  </si>
  <si>
    <t>distributable</t>
  </si>
  <si>
    <t>Group</t>
  </si>
  <si>
    <t>Property, plant and equipment</t>
  </si>
  <si>
    <t>-   Malaysian taxation</t>
  </si>
  <si>
    <t>Page 3</t>
  </si>
  <si>
    <t>Interest income</t>
  </si>
  <si>
    <t>this announcement.</t>
  </si>
  <si>
    <t>qualification.</t>
  </si>
  <si>
    <t>The same accounting policies and methods of computation used in the preparation of the financial</t>
  </si>
  <si>
    <t>Total revenue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</si>
  <si>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</si>
  <si>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</si>
  <si>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</si>
  <si>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</si>
  <si>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</si>
  <si>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</si>
  <si>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</si>
  <si>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</si>
  <si>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</si>
  <si>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</si>
  <si>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</si>
  <si>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</si>
  <si>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</si>
  <si>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</si>
  <si>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 xml:space="preserve">    SHAREHOLDERS OF THE COMPANY</t>
  </si>
  <si>
    <t>B4</t>
  </si>
  <si>
    <t>B5</t>
  </si>
  <si>
    <t>B8</t>
  </si>
  <si>
    <t>B7</t>
  </si>
  <si>
    <t>B6</t>
  </si>
  <si>
    <t>B9</t>
  </si>
  <si>
    <t>B10</t>
  </si>
  <si>
    <t>B11</t>
  </si>
  <si>
    <t>B12</t>
  </si>
  <si>
    <t>B13</t>
  </si>
  <si>
    <t>Unallocated corporate expenses</t>
  </si>
  <si>
    <t>DIVIDEND PER SHARE (SEN)</t>
  </si>
  <si>
    <t>(b)</t>
  </si>
  <si>
    <t>(i)</t>
  </si>
  <si>
    <t>(ii)</t>
  </si>
  <si>
    <t>(iii)</t>
  </si>
  <si>
    <t>External</t>
  </si>
  <si>
    <t>Inter-</t>
  </si>
  <si>
    <t>segment</t>
  </si>
  <si>
    <t>Share of results in associates</t>
  </si>
  <si>
    <t>Share</t>
  </si>
  <si>
    <t>Subject:</t>
  </si>
  <si>
    <t>cc:</t>
  </si>
  <si>
    <t>Securities Commission</t>
  </si>
  <si>
    <t>CONDENSED CONSOLIDATED BALANCE SHEET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</si>
  <si>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</si>
  <si>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</si>
  <si>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</si>
  <si>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</si>
  <si>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Table of contents</t>
  </si>
  <si>
    <t>Page</t>
  </si>
  <si>
    <t>CONDENSED CONSOLIDATED CASH FLOW STATEMENT</t>
  </si>
  <si>
    <t>CONDENSED CONSOLIDATED STATEMENT OF CHANGES IN EQUITY</t>
  </si>
  <si>
    <t>Net assets per share (RM)</t>
  </si>
  <si>
    <t>Investment properties</t>
  </si>
  <si>
    <t>Investment in associated company</t>
  </si>
  <si>
    <t>RETAINED EARNINGS</t>
  </si>
  <si>
    <t xml:space="preserve">Cash and bank balances </t>
  </si>
  <si>
    <t>Profit before tax</t>
  </si>
  <si>
    <t>Our business operations are not significantly affected by seasonal or cyclical factors except for</t>
  </si>
  <si>
    <t>Net cash generated from operating activities</t>
  </si>
  <si>
    <t>Net cash used in financing activities</t>
  </si>
  <si>
    <t>RESULTS</t>
  </si>
  <si>
    <t>Berjaya Sports Toto Berhad</t>
  </si>
  <si>
    <t>(Company no: 9109-K)</t>
  </si>
  <si>
    <t>PROFIT FROM OPERATIONS</t>
  </si>
  <si>
    <t>Long term investments</t>
  </si>
  <si>
    <t>Inventories</t>
  </si>
  <si>
    <t>Deposits with financial institutions</t>
  </si>
  <si>
    <t>SHARE PREMIUM</t>
  </si>
  <si>
    <t>EXCHANGE RESERVE</t>
  </si>
  <si>
    <t>Less : TREASURY SHARES</t>
  </si>
  <si>
    <t>Treasury</t>
  </si>
  <si>
    <t>Exchange difference</t>
  </si>
  <si>
    <t xml:space="preserve">Cash and cash equivalents carried forward comprise </t>
  </si>
  <si>
    <t>The details of the share buy-back are as follows :</t>
  </si>
  <si>
    <t>Month</t>
  </si>
  <si>
    <t>Price per share (RM)</t>
  </si>
  <si>
    <t>Lowest</t>
  </si>
  <si>
    <t>Highest</t>
  </si>
  <si>
    <t>Average</t>
  </si>
  <si>
    <t>Number of shares</t>
  </si>
  <si>
    <t>Total consideration</t>
  </si>
  <si>
    <t>Amount</t>
  </si>
  <si>
    <t>TOTAL</t>
  </si>
  <si>
    <t>are as follows :</t>
  </si>
  <si>
    <t>-   Foreign countries taxation</t>
  </si>
  <si>
    <t>The particulars of the acquisition and disposal of quoted investments by the Group were as follows :</t>
  </si>
  <si>
    <t xml:space="preserve">On 23 January 2002, Berjaya Land Berhad ("BLB") gave the Company a written undertaking </t>
  </si>
  <si>
    <t>(RM'000)</t>
  </si>
  <si>
    <t xml:space="preserve">Income </t>
  </si>
  <si>
    <t>(sen)</t>
  </si>
  <si>
    <t xml:space="preserve">Earnings per share </t>
  </si>
  <si>
    <t>Basic earnings per share</t>
  </si>
  <si>
    <t xml:space="preserve">Number of shares used in  the </t>
  </si>
  <si>
    <t>Diluted earnings per share</t>
  </si>
  <si>
    <t xml:space="preserve">Weighted average number </t>
  </si>
  <si>
    <t xml:space="preserve">    of shares outstanding ('000)</t>
  </si>
  <si>
    <t xml:space="preserve">    calculation of diluted earnings per share</t>
  </si>
  <si>
    <t>Increase in net profit as a result of interest</t>
  </si>
  <si>
    <t xml:space="preserve">  expense saved from potential ICULS conversion</t>
  </si>
  <si>
    <t>Adjusted net profit for the period</t>
  </si>
  <si>
    <t>Number of shares from ICULS conversion</t>
  </si>
  <si>
    <t>Toto betting operations</t>
  </si>
  <si>
    <t>Operating profit</t>
  </si>
  <si>
    <t>Translation difference of</t>
  </si>
  <si>
    <t>Others</t>
  </si>
  <si>
    <t>Elimination : Intersegment Revenue</t>
  </si>
  <si>
    <t>Group (3-month period)</t>
  </si>
  <si>
    <t>our toto betting operations that may be positively impacted by the festive seasons.</t>
  </si>
  <si>
    <t>Net profit after tax</t>
  </si>
  <si>
    <t>The valuation of land and buildings have been brought forward without amendment from the previous</t>
  </si>
  <si>
    <t>Other than subsidiary companies with principal activities of property development, there were no</t>
  </si>
  <si>
    <t>Issue of shares</t>
  </si>
  <si>
    <t>Shares buyback</t>
  </si>
  <si>
    <t xml:space="preserve">          PREMIUM OVER ICULS BOUGHT BACK ("PREMIUM")</t>
  </si>
  <si>
    <t xml:space="preserve">There is no pending material litigation since the last annual balance sheet date up to the date of </t>
  </si>
  <si>
    <t>The Group has not entered into any financial instruments with off balance sheet risk since the last</t>
  </si>
  <si>
    <t>annual balance sheet date up to the date of this announcement.</t>
  </si>
  <si>
    <t>OPERATING ACTIVITIES</t>
  </si>
  <si>
    <t>INVESTING ACTIVITIES</t>
  </si>
  <si>
    <t>Acquisition of property, plant and equipment</t>
  </si>
  <si>
    <t>FINANCING ACTIVITIES</t>
  </si>
  <si>
    <t>Issue of ordinary shares</t>
  </si>
  <si>
    <t>Other payments for financing activities</t>
  </si>
  <si>
    <t>Receipts from customers</t>
  </si>
  <si>
    <t>Disposal of property, plant and equipment</t>
  </si>
  <si>
    <t>Dividends paid</t>
  </si>
  <si>
    <t>ICULS - EQUITY COMPONENT</t>
  </si>
  <si>
    <t xml:space="preserve">           STOCKS 2002 / 2012 ("ICULS") - LIABILITY COMPONENT</t>
  </si>
  <si>
    <t>EQUITY FUNDS</t>
  </si>
  <si>
    <t xml:space="preserve">NET EQUITY FUNDS </t>
  </si>
  <si>
    <t>8% IRREDEEMABLE CONVERTIBLE UNSECURED LOAN</t>
  </si>
  <si>
    <t>CAPITAL FUNDS</t>
  </si>
  <si>
    <t>ICULS interest paid</t>
  </si>
  <si>
    <t>component</t>
  </si>
  <si>
    <t>ICULS-equity</t>
  </si>
  <si>
    <t>ICULS - equity component</t>
  </si>
  <si>
    <t>PROVISIONS</t>
  </si>
  <si>
    <t>The audit report of the Company's most recent annual audited financial statements does not contain any</t>
  </si>
  <si>
    <t>Liability</t>
  </si>
  <si>
    <t>Equity</t>
  </si>
  <si>
    <t>Conversion of ICULS into ordinary shares</t>
  </si>
  <si>
    <t>The status of conditions imposed by the Securities Commission pertaining to the issuance of ICULS</t>
  </si>
  <si>
    <t>Non-current</t>
  </si>
  <si>
    <t xml:space="preserve">    the following balance sheet amounts   :</t>
  </si>
  <si>
    <t>NON-CURRENT ASSETS</t>
  </si>
  <si>
    <t>The net assets per share is calculated based on the following :</t>
  </si>
  <si>
    <t xml:space="preserve">profits / (losses) on sale of properties and there were no profits / (losses) on sale of unquoted investments </t>
  </si>
  <si>
    <t>Reserves</t>
  </si>
  <si>
    <t>Based on the results for the period:-</t>
  </si>
  <si>
    <t>it undertakes to settle the outstanding advances within three years from the date of issue of the ICULS</t>
  </si>
  <si>
    <t xml:space="preserve">("Undertaking Letter") relating to the settlement arrangement for the inter-company advances whereby </t>
  </si>
  <si>
    <t>- First interim</t>
  </si>
  <si>
    <t>Distribution of dividends</t>
  </si>
  <si>
    <t>Investment related income</t>
  </si>
  <si>
    <t>Treasury shares acquired</t>
  </si>
  <si>
    <t>The quarterly financial report is not audited and has been prepared in compliance with MASB 26, Interim</t>
  </si>
  <si>
    <t>The quarterly financial report should be read in conjunction with the audited financial statements of the</t>
  </si>
  <si>
    <t>There were no other unusual items as a result of their nature, size or incidence that had affected assets,</t>
  </si>
  <si>
    <t>DEFERRED TAX LIABILITIES</t>
  </si>
  <si>
    <t>Total quoted long term investments at cost</t>
  </si>
  <si>
    <t>Total quoted long term investments at book value</t>
  </si>
  <si>
    <t>Total quoted long term investments at market value</t>
  </si>
  <si>
    <t>Tax recoverable</t>
  </si>
  <si>
    <t xml:space="preserve">Financial Reporting.  </t>
  </si>
  <si>
    <t>Listing Requirements of Bursa Malaysia Securities Berhad</t>
  </si>
  <si>
    <t xml:space="preserve">Additional Information Required by </t>
  </si>
  <si>
    <t xml:space="preserve">Minority interests  </t>
  </si>
  <si>
    <t>Long term receivable</t>
  </si>
  <si>
    <t>Deferred tax assets</t>
  </si>
  <si>
    <t>Receivables</t>
  </si>
  <si>
    <t>Amount due from affiliated companies</t>
  </si>
  <si>
    <t>Payables</t>
  </si>
  <si>
    <t>Amount due to affiliated companies</t>
  </si>
  <si>
    <t xml:space="preserve">MINORITY INTERESTS </t>
  </si>
  <si>
    <t>At 1 May 2004</t>
  </si>
  <si>
    <t xml:space="preserve">CASH &amp; CASH EQUIVALENTS AT 1 MAY </t>
  </si>
  <si>
    <t xml:space="preserve">Repayment of borrowings </t>
  </si>
  <si>
    <t>financial statements under review.</t>
  </si>
  <si>
    <t>There were no changes in estimates reported in the prior financial year that had a material effect in</t>
  </si>
  <si>
    <t>Notes to the Quarterly Financial Report</t>
  </si>
  <si>
    <t>The annexed notes form an integral part of this quarterly financial report.</t>
  </si>
  <si>
    <t>NOTES TO THE QUARTERLY FINANCIAL REPORT</t>
  </si>
  <si>
    <t>including business combination, acquisition or disposal of subsidiaries and long term investments,</t>
  </si>
  <si>
    <t>ADDITIONAL INFORMATION REQUIRED BY LISTING REQUIREMENTS OF BURSA</t>
  </si>
  <si>
    <t>MALAYSIA SECURITIES BERHAD</t>
  </si>
  <si>
    <t>ICULS bought back by a subsidiary company</t>
  </si>
  <si>
    <t>Acquisition of other investments, including</t>
  </si>
  <si>
    <t>Investment related expenses</t>
  </si>
  <si>
    <t>Share of results of associated company</t>
  </si>
  <si>
    <t>30-4-2005</t>
  </si>
  <si>
    <t>Acquisition of investment in associated company</t>
  </si>
  <si>
    <t>Investment related income</t>
  </si>
  <si>
    <t>Taxation</t>
  </si>
  <si>
    <t>PROFIT ATTRIBUTABLE TO</t>
  </si>
  <si>
    <t>EARNINGS PER SHARE (SEN)</t>
  </si>
  <si>
    <t>At 1 May 2005</t>
  </si>
  <si>
    <t>Net profit for the period</t>
  </si>
  <si>
    <t>shares</t>
  </si>
  <si>
    <t>capital</t>
  </si>
  <si>
    <t>taxes and other operating expenses</t>
  </si>
  <si>
    <t xml:space="preserve">Payments to prize winners, suppliers, duties, </t>
  </si>
  <si>
    <t>Company for the year ended 30 April 2005.</t>
  </si>
  <si>
    <t>statements for the year ended 30 April 2005 have been applied in the preparation of the quarterly</t>
  </si>
  <si>
    <t xml:space="preserve">open market.  The cumulative shares bought back are being held as treasury shares with none of the </t>
  </si>
  <si>
    <t>June 2005</t>
  </si>
  <si>
    <t>July 2005</t>
  </si>
  <si>
    <t>Balance as at 1 May 2005</t>
  </si>
  <si>
    <t>annual report as no revaluation has been carried out since 30 April 2005.</t>
  </si>
  <si>
    <t>restructuring and discontinuing operations except for the inception of the following companies as at 31 July</t>
  </si>
  <si>
    <t>wholly-owned subsidiary companies of International Lottery &amp; Totalizator Systems, Inc.</t>
  </si>
  <si>
    <t>Not applicable.</t>
  </si>
  <si>
    <t>Financial period</t>
  </si>
  <si>
    <t>Pursuant to the resolution included in the Circular to Shareholders dated 5 April 2002, the Company has</t>
  </si>
  <si>
    <t>obtained the necessary approvals for the purchase of ICULS by the Company or any of its wholly-owned</t>
  </si>
  <si>
    <t>subsidiaries up to an amount not exceeding RM1.2 billion.  During the first quarter ended 31 July 2005, a</t>
  </si>
  <si>
    <t>Company's ICULS from the open market. The wholly-owned subsidiary company has then disposed of the</t>
  </si>
  <si>
    <t>via placements on 22 and 25 July 2005 which registered a net gain on disposal of approximately RM24.3</t>
  </si>
  <si>
    <t>million.</t>
  </si>
  <si>
    <t xml:space="preserve">On 10 August 2005, the Board of Directors of the Company announced that the Company has </t>
  </si>
  <si>
    <t>received a letter from BLB requesting the Company for an extension of time by another one year to</t>
  </si>
  <si>
    <t xml:space="preserve">4 August 2006 ("Settlement Period") to settle in full the advances owing to the Company pursuant to </t>
  </si>
  <si>
    <t>the Undertaking Letter.</t>
  </si>
  <si>
    <t>The Board of Directors of the Company was informed of BLB's proposal to dispose of 320 million ordinary</t>
  </si>
  <si>
    <t>shares in the Company ("Disposal Shares") held by BLB and its wholly-owned subsidiaries, namely</t>
  </si>
  <si>
    <t>Gateway Benefit Sdn Bhd, Immediate Capital Sdn Bhd and Berjaya Land Development Sdn Bhd ("Vendor</t>
  </si>
  <si>
    <t>Subsidiaries") to Intan Utilities Berhad, for a total disposal consideration of RM1,152 million (after the</t>
  </si>
  <si>
    <t>A Depositor shall qualify for the entitlement only in respect of :</t>
  </si>
  <si>
    <t>a.</t>
  </si>
  <si>
    <t>in respect of ordinary transfers.</t>
  </si>
  <si>
    <t>b.</t>
  </si>
  <si>
    <t>Shares bought on BMSB on a cum entitlement basis according to the Rules of BMSB.</t>
  </si>
  <si>
    <t>The basic and diluted earnings per share are calculated as follows :</t>
  </si>
  <si>
    <t>Reversal of component in relation to ICULS</t>
  </si>
  <si>
    <t xml:space="preserve">  bought back by a subsidiary upon disposal</t>
  </si>
  <si>
    <t>ICULS bought back by a subsidiary</t>
  </si>
  <si>
    <t>(a)</t>
  </si>
  <si>
    <t>entire RM27,873,100 nominal value of ICULS acquired for a total cash consideration of RM116 million</t>
  </si>
  <si>
    <t xml:space="preserve">    bought back arising from disposal</t>
  </si>
  <si>
    <t xml:space="preserve">     foreign subsidiary companies</t>
  </si>
  <si>
    <t>RM24.3 million arising from disposal of the entire investment in ICULS of the Company by its</t>
  </si>
  <si>
    <t xml:space="preserve">Realisation of premium over ICULS </t>
  </si>
  <si>
    <t>DEFERRED INCOME AND LIABILITIES</t>
  </si>
  <si>
    <t>Under provision in prior year</t>
  </si>
  <si>
    <t>2005, namely Unisyn Solutions, Inc. and International Totalizator Systems, Inc. both of which are</t>
  </si>
  <si>
    <t>Transfer to deferred tax liability</t>
  </si>
  <si>
    <t>Net proceeds from disposal of ICULS bought back</t>
  </si>
  <si>
    <t xml:space="preserve"> -Basic</t>
  </si>
  <si>
    <t>CONDENSED CONSOLIDATED INCOME STATEMENT</t>
  </si>
  <si>
    <t>bought back of RM57.4 million arising from this disposal as shown in the statement of changes in equity.</t>
  </si>
  <si>
    <t>Other receipts from investing activities</t>
  </si>
  <si>
    <t>as follows :</t>
  </si>
  <si>
    <t>Disposal of quoted securities</t>
  </si>
  <si>
    <t>Cost of purchase of quoted securities</t>
  </si>
  <si>
    <t>Loss on disposal of quoted securities</t>
  </si>
  <si>
    <t>Disposal of other investment</t>
  </si>
  <si>
    <t>- Second interim</t>
  </si>
  <si>
    <t>the current period.</t>
  </si>
  <si>
    <t>RM0.50 capital distribution</t>
  </si>
  <si>
    <t>October 2005</t>
  </si>
  <si>
    <t>Reduction of treasury shares par value</t>
  </si>
  <si>
    <t xml:space="preserve">    pursuant to the RM0.50 capital distribution</t>
  </si>
  <si>
    <t xml:space="preserve">Current </t>
  </si>
  <si>
    <t>quarter</t>
  </si>
  <si>
    <t>Current</t>
  </si>
  <si>
    <t>LONG TERM BORROWINGS</t>
  </si>
  <si>
    <t>Other long term asset</t>
  </si>
  <si>
    <t>Listing fees</t>
  </si>
  <si>
    <t xml:space="preserve">     resulting from early conversion</t>
  </si>
  <si>
    <t xml:space="preserve">     liability component of ICULS </t>
  </si>
  <si>
    <t>Share of associated company's tax</t>
  </si>
  <si>
    <t>than the statutory tax rate mainly due to certain expenses being disallowed for taxation purposes net of</t>
  </si>
  <si>
    <t>capital gain not subject to tax.</t>
  </si>
  <si>
    <t xml:space="preserve">Adjustment for the cost from </t>
  </si>
  <si>
    <t xml:space="preserve">     accumulated extinguished </t>
  </si>
  <si>
    <t>Adjustment for the cost from accumulated</t>
  </si>
  <si>
    <t xml:space="preserve">  extinguished liability component of</t>
  </si>
  <si>
    <t xml:space="preserve">  ICULS resulting from early conversion</t>
  </si>
  <si>
    <t xml:space="preserve">  component from other payables</t>
  </si>
  <si>
    <t xml:space="preserve">Reclassified ICULS - liability </t>
  </si>
  <si>
    <t xml:space="preserve">Increase in treasury shares </t>
  </si>
  <si>
    <t xml:space="preserve">   before the capital distribution</t>
  </si>
  <si>
    <t xml:space="preserve">    after the capital distribution</t>
  </si>
  <si>
    <t>Balance as at 26 September 2005</t>
  </si>
  <si>
    <t>In addition, on 26 September 2005, the Company completed its RM0.50 capital distribution which has</t>
  </si>
  <si>
    <t>Acquisition of investment properties</t>
  </si>
  <si>
    <t>Drawdown of bank borrowings</t>
  </si>
  <si>
    <t xml:space="preserve">Other receipts </t>
  </si>
  <si>
    <t>Capital distribution</t>
  </si>
  <si>
    <t>component *</t>
  </si>
  <si>
    <t>There were no contingent liabilities incurred by the Company and Group since the last audited balance sheet</t>
  </si>
  <si>
    <t>date as at 30 April 2005 and up to the date of this announcement except for the corporate guarantee given</t>
  </si>
  <si>
    <t>by the Company to financial institutions for a RM600 million syndicated credit facilities granted to one of its</t>
  </si>
  <si>
    <t>wholly-owned subsidiary.</t>
  </si>
  <si>
    <t>the statement of changes in equity.</t>
  </si>
  <si>
    <t xml:space="preserve">resulted in the par value of the issued shares being reduced to RM0.50 per share as shown in Note A5 and </t>
  </si>
  <si>
    <t>The BTOTO Capital Distribution was effected on 26 September 2005 and consequently, the share capital of</t>
  </si>
  <si>
    <t>the Company of RM1,343,728,821 comprising 1,343,728,821 ordinary shares of RM1.00 each (including</t>
  </si>
  <si>
    <t>UNAUDITED QUARTERLY FINANCIAL REPORT FOR THE PERIOD ENDED 31 JANUARY 2006</t>
  </si>
  <si>
    <t>31-1-2006</t>
  </si>
  <si>
    <t>31-1-2005</t>
  </si>
  <si>
    <t>9 months ended</t>
  </si>
  <si>
    <t>fourth interim dividend on 1 June 2005, in respect of the financial year ended 30 April 2005, of 11 sen</t>
  </si>
  <si>
    <t>per share on 1,133,504,815 ordinary shares with voting rights, less income tax of 28% amounting to</t>
  </si>
  <si>
    <t>RM89,773,582.</t>
  </si>
  <si>
    <t>During the financial period ended 31 January 2006, the Company had paid the following dividends :</t>
  </si>
  <si>
    <t>first interim dividend on 8 November 2005, in respect of the financial year ending 30 April 2006, of 12.5</t>
  </si>
  <si>
    <t>sen per share on 1,258,728,821 ordinary shares with voting rights, less income tax of 28% amounting to</t>
  </si>
  <si>
    <t>RM113,285,594.</t>
  </si>
  <si>
    <t>second interim dividend on 12 January 2006, in respect of the financial year ending 30 April 2006, of</t>
  </si>
  <si>
    <t>12.5 sen per share on 1,256,611,772 ordinary shares with voting rights, less income tax of 28%</t>
  </si>
  <si>
    <t>amounting to RM113,095,059.</t>
  </si>
  <si>
    <t>Group (9-month period)</t>
  </si>
  <si>
    <t>- Third interim</t>
  </si>
  <si>
    <t>(par value per share : as at 31/1/06 - RM0.50, 30/4/05 - RM1.00)</t>
  </si>
  <si>
    <t>At 31 January 2005</t>
  </si>
  <si>
    <t>At 31 January 2006</t>
  </si>
  <si>
    <t>9-month ended</t>
  </si>
  <si>
    <t>CASH &amp; CASH EQUIVALENTS AT 31 JANUARY</t>
  </si>
  <si>
    <t>liabilities, equity, net income or cash flows for the period ended 31 January 2006 except for the net gain of</t>
  </si>
  <si>
    <t>During the third quarter ended 31 January 2006, a total of 11,736,700 shares were bought back from the</t>
  </si>
  <si>
    <t>shares being cancelled or resold during the third quarter ended 31 January 2006.</t>
  </si>
  <si>
    <t>November 2005</t>
  </si>
  <si>
    <t>December 2005</t>
  </si>
  <si>
    <t>January 2006</t>
  </si>
  <si>
    <t>The number of treasury shares held in hand as at 31 January 2006 are as follows :</t>
  </si>
  <si>
    <t>Total treasury shares as at 31 January 2006</t>
  </si>
  <si>
    <t>During the third quarter ended 31 January 2006 a total of 1,707,322 new ordinary shares of RM0.50 each</t>
  </si>
  <si>
    <t>were issued when RM1,707,322 ICULS were converted into shares at the rate of RM1.00 nominal value of</t>
  </si>
  <si>
    <t>ICULS plus RM0.06 in cash for every one fully paid ordinary share.  In addition, a total of 4,855,369 new</t>
  </si>
  <si>
    <t>ordinary shares of RM0.50 each were issued when RM5,147,566 ICULS were converted into shares at the</t>
  </si>
  <si>
    <t>rate of RM1.06 nominal value of ICULS for every one fully paid ordinary share.</t>
  </si>
  <si>
    <t>For the 9-month period ended 31 January 2006, the total new ordinary shares issued as a result of the</t>
  </si>
  <si>
    <t>ICULS conversion were 138,925,257  (including the 132,362,566 new ordinary shares issued up to the</t>
  </si>
  <si>
    <t xml:space="preserve">second quarter ended 31 October 2005). </t>
  </si>
  <si>
    <t>As at 31 January 2006, the number of outstanding shares in issue and fully paid with voting rights was</t>
  </si>
  <si>
    <t>1,253,688,472 ordinary shares of RM0.50 each (30 April 2005 : 1,133,504,815 ordinary shares of RM1.00</t>
  </si>
  <si>
    <t>each).</t>
  </si>
  <si>
    <t>Balance as at 31 January 2006</t>
  </si>
  <si>
    <t>During the financial period ended 31 January 2006, the remaining outstanding ICULS were fully converted</t>
  </si>
  <si>
    <t>and on 16 November 2005, the ICULS was removed from the Official List of Bursa Malaysia Securities</t>
  </si>
  <si>
    <t>Berhad.</t>
  </si>
  <si>
    <t>i)</t>
  </si>
  <si>
    <t>ii)</t>
  </si>
  <si>
    <t>iii)</t>
  </si>
  <si>
    <t>Segmental revenue and results for the financial period ended 31 January 2006 were as follows :</t>
  </si>
  <si>
    <t>There were no changes in the composition of the Company for the current period ended 31 January 2006</t>
  </si>
  <si>
    <t>ended 31 January 2006</t>
  </si>
  <si>
    <t>The effective tax rate on the Group's profit for financial period ended 31 January 2006 was higher</t>
  </si>
  <si>
    <t>for the financial period ended 31 January 2006.</t>
  </si>
  <si>
    <t>The acquisition and disposal of quoted securities during the financial period ended 31 January 2006 are</t>
  </si>
  <si>
    <t>Investments in quoted securities as at 31 January 2006 were as follows :</t>
  </si>
  <si>
    <t>wholly-owned subsidiary of the Company has purchased additional RM1,375,600 nominal value of the</t>
  </si>
  <si>
    <t>The Group's bank borrowings as at 31 January 2006 were as follows :</t>
  </si>
  <si>
    <t>less 28% income tax in respect of the financial year ending 30 April 2006 and payable on 7 April 2006.</t>
  </si>
  <si>
    <t>The entitlement date has been fixed on 30 March 2006.</t>
  </si>
  <si>
    <t>The first and second interim dividend both of 12.5 sen per share less 28% income tax was paid on 8 November</t>
  </si>
  <si>
    <t>2005 and 12 January 2006 respectively.  This will bring the total gross dividend distribution per share in respect</t>
  </si>
  <si>
    <t>There were no other corporate proposals announced but not completed as at the date of this announcement</t>
  </si>
  <si>
    <t>31 January 2005 : 34 sen per share less 28% income tax).</t>
  </si>
  <si>
    <t>attributable profit of the Group for the financial period ended 31 January 2006.</t>
  </si>
  <si>
    <t>Shares transferred to the Depositor's Securities Account before 4:00 p.m. on 30 March 2006</t>
  </si>
  <si>
    <t>N/A</t>
  </si>
  <si>
    <t>As compared to the corresponding quarter ended 31 January 2005, the Group achieved an increase in revenue</t>
  </si>
  <si>
    <t>The principal subsidiary, Sports Toto Malaysia Sdn Bhd ("Sports Toto"), posted an increase of 15.9% and 13%</t>
  </si>
  <si>
    <t>in revenue and pre-tax profit respectively.  The improved performance was achieved on the back of two</t>
  </si>
  <si>
    <t>of January 2006 and three months contribution from sales of the 4 Digit I-Perm game launched at the end of</t>
  </si>
  <si>
    <t>For the 9-month period under review, the Group achieved an increase in revenue and pre-tax profit of 10.3%</t>
  </si>
  <si>
    <t>and 17% respectively as compared to the previous year's corresponding period ended 31 January 2005.  The</t>
  </si>
  <si>
    <t>higher increase in pre-tax profit was mainly attributed to the improved performance of Sports Toto as well as</t>
  </si>
  <si>
    <t>gain on disposal of the Company's ICULS that was previously acquired by one of its wholly-owned subsidiary</t>
  </si>
  <si>
    <t>The principal subsidiary, Sports Toto, achieved an increase of 10.3% in revenue mainly attributed to the two</t>
  </si>
  <si>
    <t>additional draws in the current period under review, strong sales from the Super 6/49 game which recorded its</t>
  </si>
  <si>
    <t>As compared to the preceding quarter ended 31 October 2005, the Group registered an increase in revenue</t>
  </si>
  <si>
    <t>Sports Toto, the principal subsidiary, registered a growth in revenue of 18.3% mainly attributed to three</t>
  </si>
  <si>
    <t>mainly due to a lower prize payout in the preceding quarter compared to the current quarter under review.</t>
  </si>
  <si>
    <t>except for on 25 January 2006, the Company announced its proposal to undertake a second capital</t>
  </si>
  <si>
    <t>repayment ("Proposed Capital Repayment") via cash on the basis of RM0.50 for every one existing</t>
  </si>
  <si>
    <t>ordinary share of RM0.50 each ("Share") held in the company at an entitlement date to be determined and</t>
  </si>
  <si>
    <t>undertaken in accordance with the provisions of Section 60(2) and Section 64 of the Companies Act, 1965</t>
  </si>
  <si>
    <t>premium reserve of the Company by RM0.10 per Share.</t>
  </si>
  <si>
    <t>(i)   shareholders of the Company at an extraordinary general meeting to be convened;</t>
  </si>
  <si>
    <t>(ii)  the sanction of the High Court for the reduction of the Company's share capital and share premium</t>
  </si>
  <si>
    <t>As at 31 January 2006, the outstanding inter-company balances owing by BLB group was RM543.236</t>
  </si>
  <si>
    <t>million upon BLB's repayment of RM34.8 million during the first quarter ended 31 July 2005, RM4.6 million</t>
  </si>
  <si>
    <t>during the second quarter ended 31 October 2005 and an aggregate repayment of RM137.3 million made</t>
  </si>
  <si>
    <t xml:space="preserve">during the current quarter.  </t>
  </si>
  <si>
    <t>Subsequent to the completion of the Proposed Disposal, BLB and Vendor Subsidiaries will utilise the net</t>
  </si>
  <si>
    <t>proceeds received from the Proposed Disposal less the amount required for the redemption of the Disposal</t>
  </si>
  <si>
    <t>Shares from their lenders to settle the outstanding inter-company balances that BLB owes to the</t>
  </si>
  <si>
    <t>The Board of Directors of the Company, after taking into consideration the above, has agreed to BLB's</t>
  </si>
  <si>
    <t>proposed extension of the Settlement Period to 4 August 2006.</t>
  </si>
  <si>
    <t>On 25 January 2006, BLB announced that BLB and the Vendor Subsidiaries had agreed to mutually</t>
  </si>
  <si>
    <t>and pre-tax profit of 15.5% and 6.9% respectively.  The lower increase in pre-tax profit was mainly due to the</t>
  </si>
  <si>
    <t>additional draws in the quarter under review, traditionally higher Chinese New Year festive sales in the month</t>
  </si>
  <si>
    <t>September 2005.  The lower increase in pre-tax profit was attributed to a marginally higher prize payout in</t>
  </si>
  <si>
    <t>the current quarter under review and higher sales and marketing expenses.</t>
  </si>
  <si>
    <t>company recognised in the first quarter of this financial year.</t>
  </si>
  <si>
    <t>highest ever Jackpot of RM15.9 million in May 2005, traditionally higher Chinese New Year festive sales in the</t>
  </si>
  <si>
    <t>month of January 2006 and four months contribution from sales of the 4 Digit I-Perm game launched at the</t>
  </si>
  <si>
    <t>end of September 2005.  It recorded a higher increase of 12.4% in pre-tax profit compared to the increase in</t>
  </si>
  <si>
    <t>revenue mainly due to a lower prize payout in the current period under review.</t>
  </si>
  <si>
    <t>additional draws in the current quarter under review, traditionally higher Chinese New Year festive sales in the</t>
  </si>
  <si>
    <t>month of January 2006 and the full three months impact of contribution from sales of the 4 Digit I-Perm game</t>
  </si>
  <si>
    <t>launched at the end of September 2005.  It however registered a lower increase in pre-tax profit of about 2%</t>
  </si>
  <si>
    <t>announced later by the Board of Directors of the Company.  The Proposed Capital Repayment will be</t>
  </si>
  <si>
    <t>via the reduction of the share capital of the Company by RM0.40 per Share and reduction of the share</t>
  </si>
  <si>
    <t>ICULS was removed from the Official List of Bursa Malaysia Securities Berhad.</t>
  </si>
  <si>
    <t>The Proposed Capital Repayment is subject to the following approvals :</t>
  </si>
  <si>
    <t xml:space="preserve">      reserve pursuant to Sections 60(2) and 64 of the Companies Act, 1965; and</t>
  </si>
  <si>
    <t>(iii) any other relevant approvals.</t>
  </si>
  <si>
    <t>terminate the share sale agreement in relation to its proposed disposal of Disposal Shares to Intan Utilities</t>
  </si>
  <si>
    <t>Berhad.  BLB had on the same date announced that its Board of Directors is proposing an alternative</t>
  </si>
  <si>
    <t>proposal to partially repay the amounts owing to the Company by issuing up to RM900 million nominal</t>
  </si>
  <si>
    <t>value of 5-year secured exchangeable bonds ("Exchangeable Bonds").  The Exchangeable Bonds will be</t>
  </si>
  <si>
    <t>Capital funds less ICULS - equity component divided by the number of outstanding shares in issue with voting rights.</t>
  </si>
  <si>
    <t>Repayment from affiliated companies</t>
  </si>
  <si>
    <t>85,000,000 treasury shares of RM1.00 each then) was reduced to RM671,864,410.50 comprising</t>
  </si>
  <si>
    <t>1,343,728,821 ordinary shares of RM0.50 each.  The cost of the treasury shares was reduced by the credit</t>
  </si>
  <si>
    <t xml:space="preserve">from the reduction of the par value of the treasury shares pursuant to the BTOTO Capital Distribution. </t>
  </si>
  <si>
    <t>Following the BTOTO Capital Distribution and pursuant to the Company's ICULS Trust Deed, the</t>
  </si>
  <si>
    <t>conversion price of the outstanding BTOTO ICULS was accordingly adjusted from RM1.20 to RM1.06.</t>
  </si>
  <si>
    <t>wholly-owned subsidiary company as disclosed in Note B8(b) and the realisation of premium over ICULS</t>
  </si>
  <si>
    <t>There were no material subsequent events for the financial  period ended 31 January 2006 up to the date of</t>
  </si>
  <si>
    <t>this announcement saved for those disclosed in Notes 40(a) of the 2005 audited financial statements of the</t>
  </si>
  <si>
    <t>Company and in Note B8 of this quarterly financial report.</t>
  </si>
  <si>
    <t>Goodwill arising on consolidation and other intangible asset</t>
  </si>
  <si>
    <t>Interest received</t>
  </si>
  <si>
    <t>Net cash generated from investing activities</t>
  </si>
  <si>
    <t>Bank borrowing interest paid</t>
  </si>
  <si>
    <t>NET INCREASE IN CASH AND CASH EQUIVALENTS</t>
  </si>
  <si>
    <t>Barring unforeseen circumstances and in view of the recent two weeks Chinese New Year festive season that</t>
  </si>
  <si>
    <t>ended in mid-February 2006, the Directors expect that the performance of the Group for the remaining quarter</t>
  </si>
  <si>
    <t>of the financial year ending 30 April 2006 will be good.</t>
  </si>
  <si>
    <t>and pre-tax profit of 18.4% and 3.2% respectively.</t>
  </si>
  <si>
    <t>Other payment for investing activities</t>
  </si>
  <si>
    <t>Other receipts from financing activities</t>
  </si>
  <si>
    <t>The Board has declared a third interim dividend of 11 sen per share (31 January 2005 : 16 sen per share)</t>
  </si>
  <si>
    <t>of the financial period ended 31 January 2006 to 36 sen (previous year corresponding financial period ended</t>
  </si>
  <si>
    <t>30 April 2006 is approximately RM100.3 million.  This will bring the total net dividend distribution for the</t>
  </si>
  <si>
    <t>financial period ended 31 January 2006 to approximately RM326.693 million representing about 106.7 % of the</t>
  </si>
  <si>
    <t>on 5 August 2002.</t>
  </si>
  <si>
    <t xml:space="preserve">Company's capital distribution of RM0.50 per share) ("Proposed Disposal"). </t>
  </si>
  <si>
    <t xml:space="preserve">Company. </t>
  </si>
  <si>
    <t>As disclosed in Note A5, the Company's ICULS were fully converted and on 16 November 2005, the</t>
  </si>
  <si>
    <t>higher finance cost incurred as well as the lower interest income earned from Berjaya Land Berhad ("BLB")</t>
  </si>
  <si>
    <t>under review coupled with the reasons explained in the ensuing paragraph on the performance of the principal</t>
  </si>
  <si>
    <t xml:space="preserve">subsidiary. </t>
  </si>
  <si>
    <t>9 March 2006 of 1.267 billion, the third interim net dividend distribution for the financial year ending</t>
  </si>
  <si>
    <t>due to significant cash repayment of the inter-company balances owing by BLB for the current quarter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</si>
</sst>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0.00_);[Red]\(0.00\)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dd\ mmm"/>
    <numFmt numFmtId="176" formatCode="dd/mmm/yyyy"/>
    <numFmt numFmtId="177" formatCode="0.000"/>
    <numFmt numFmtId="178" formatCode="[$-409]dddd\,\ mmmm\ dd\,\ yyyy"/>
  </numFmts>
  <fonts count="16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48"/>
      <name val="Times New Roman"/>
      <family val="1"/>
    </font>
    <font>
      <sz val="8"/>
      <name val="Times New Roman"/>
      <family val="1"/>
    </font>
    <font>
      <sz val="9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Border="1" applyAlignment="1">
      <alignment horizontal="right"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5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" xfId="15" applyNumberFormat="1" applyFont="1" applyFill="1" applyBorder="1" applyAlignment="1">
      <alignment/>
    </xf>
    <xf numFmtId="41" fontId="2" fillId="0" borderId="4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1" fontId="2" fillId="0" borderId="5" xfId="15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41" fontId="2" fillId="0" borderId="6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 vertical="top"/>
    </xf>
    <xf numFmtId="41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 vertical="top"/>
    </xf>
    <xf numFmtId="171" fontId="1" fillId="0" borderId="0" xfId="15" applyNumberFormat="1" applyFont="1" applyAlignment="1">
      <alignment/>
    </xf>
    <xf numFmtId="171" fontId="2" fillId="0" borderId="0" xfId="15" applyNumberFormat="1" applyFont="1" applyAlignment="1">
      <alignment/>
    </xf>
    <xf numFmtId="171" fontId="1" fillId="0" borderId="0" xfId="15" applyNumberFormat="1" applyFont="1" applyAlignment="1">
      <alignment horizontal="center"/>
    </xf>
    <xf numFmtId="171" fontId="2" fillId="0" borderId="1" xfId="15" applyNumberFormat="1" applyFont="1" applyBorder="1" applyAlignment="1">
      <alignment vertical="center"/>
    </xf>
    <xf numFmtId="171" fontId="2" fillId="2" borderId="1" xfId="15" applyNumberFormat="1" applyFont="1" applyFill="1" applyBorder="1" applyAlignment="1">
      <alignment vertical="center"/>
    </xf>
    <xf numFmtId="171" fontId="2" fillId="2" borderId="0" xfId="15" applyNumberFormat="1" applyFont="1" applyFill="1" applyAlignment="1">
      <alignment/>
    </xf>
    <xf numFmtId="171" fontId="2" fillId="0" borderId="2" xfId="15" applyNumberFormat="1" applyFont="1" applyBorder="1" applyAlignment="1">
      <alignment/>
    </xf>
    <xf numFmtId="171" fontId="2" fillId="2" borderId="2" xfId="15" applyNumberFormat="1" applyFont="1" applyFill="1" applyBorder="1" applyAlignment="1">
      <alignment/>
    </xf>
    <xf numFmtId="171" fontId="2" fillId="0" borderId="2" xfId="15" applyNumberFormat="1" applyFont="1" applyBorder="1" applyAlignment="1">
      <alignment vertical="top"/>
    </xf>
    <xf numFmtId="171" fontId="2" fillId="2" borderId="2" xfId="15" applyNumberFormat="1" applyFont="1" applyFill="1" applyBorder="1" applyAlignment="1">
      <alignment vertical="top"/>
    </xf>
    <xf numFmtId="171" fontId="2" fillId="0" borderId="1" xfId="15" applyNumberFormat="1" applyFont="1" applyBorder="1" applyAlignment="1">
      <alignment/>
    </xf>
    <xf numFmtId="171" fontId="2" fillId="2" borderId="1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43" fontId="2" fillId="0" borderId="0" xfId="15" applyNumberFormat="1" applyFont="1" applyAlignment="1">
      <alignment/>
    </xf>
    <xf numFmtId="171" fontId="2" fillId="0" borderId="0" xfId="15" applyNumberFormat="1" applyFont="1" applyAlignment="1">
      <alignment horizontal="center"/>
    </xf>
    <xf numFmtId="0" fontId="1" fillId="0" borderId="0" xfId="15" applyNumberFormat="1" applyFont="1" applyAlignment="1">
      <alignment/>
    </xf>
    <xf numFmtId="0" fontId="4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2" fillId="0" borderId="0" xfId="15" applyNumberFormat="1" applyFont="1" applyAlignment="1" quotePrefix="1">
      <alignment/>
    </xf>
    <xf numFmtId="0" fontId="5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1" fontId="2" fillId="0" borderId="0" xfId="15" applyNumberFormat="1" applyFont="1" applyAlignment="1">
      <alignment horizontal="center" vertical="center"/>
    </xf>
    <xf numFmtId="171" fontId="6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171" fontId="6" fillId="0" borderId="0" xfId="15" applyNumberFormat="1" applyFont="1" applyBorder="1" applyAlignment="1">
      <alignment horizontal="center"/>
    </xf>
    <xf numFmtId="171" fontId="2" fillId="0" borderId="0" xfId="15" applyNumberFormat="1" applyFont="1" applyBorder="1" applyAlignment="1">
      <alignment/>
    </xf>
    <xf numFmtId="171" fontId="6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0" xfId="15" applyNumberFormat="1" applyFont="1" applyAlignment="1">
      <alignment horizontal="center" vertical="center"/>
    </xf>
    <xf numFmtId="0" fontId="2" fillId="0" borderId="0" xfId="15" applyNumberFormat="1" applyFont="1" applyAlignment="1">
      <alignment horizontal="center" vertical="justify" wrapText="1"/>
    </xf>
    <xf numFmtId="171" fontId="2" fillId="0" borderId="0" xfId="15" applyNumberFormat="1" applyFont="1" applyAlignment="1">
      <alignment/>
    </xf>
    <xf numFmtId="171" fontId="2" fillId="0" borderId="0" xfId="15" applyNumberFormat="1" applyFont="1" applyAlignment="1">
      <alignment horizontal="right"/>
    </xf>
    <xf numFmtId="0" fontId="5" fillId="0" borderId="0" xfId="0" applyFont="1" applyBorder="1" applyAlignment="1" quotePrefix="1">
      <alignment/>
    </xf>
    <xf numFmtId="171" fontId="2" fillId="0" borderId="0" xfId="15" applyNumberFormat="1" applyFont="1" applyBorder="1" applyAlignment="1">
      <alignment horizontal="right"/>
    </xf>
    <xf numFmtId="171" fontId="2" fillId="0" borderId="12" xfId="15" applyNumberFormat="1" applyFont="1" applyBorder="1" applyAlignment="1">
      <alignment/>
    </xf>
    <xf numFmtId="171" fontId="2" fillId="0" borderId="13" xfId="15" applyNumberFormat="1" applyFont="1" applyBorder="1" applyAlignment="1">
      <alignment/>
    </xf>
    <xf numFmtId="171" fontId="2" fillId="0" borderId="0" xfId="15" applyNumberFormat="1" applyFont="1" applyAlignment="1">
      <alignment horizontal="left" indent="1"/>
    </xf>
    <xf numFmtId="171" fontId="2" fillId="0" borderId="0" xfId="15" applyNumberFormat="1" applyFont="1" applyBorder="1" applyAlignment="1">
      <alignment/>
    </xf>
    <xf numFmtId="0" fontId="2" fillId="0" borderId="1" xfId="15" applyNumberFormat="1" applyFont="1" applyBorder="1" applyAlignment="1">
      <alignment vertical="center"/>
    </xf>
    <xf numFmtId="0" fontId="2" fillId="0" borderId="2" xfId="15" applyNumberFormat="1" applyFont="1" applyBorder="1" applyAlignment="1">
      <alignment/>
    </xf>
    <xf numFmtId="0" fontId="2" fillId="0" borderId="2" xfId="15" applyNumberFormat="1" applyFont="1" applyBorder="1" applyAlignment="1">
      <alignment vertical="top"/>
    </xf>
    <xf numFmtId="0" fontId="2" fillId="0" borderId="1" xfId="15" applyNumberFormat="1" applyFont="1" applyBorder="1" applyAlignment="1">
      <alignment/>
    </xf>
    <xf numFmtId="0" fontId="1" fillId="0" borderId="0" xfId="0" applyNumberFormat="1" applyFont="1" applyAlignment="1">
      <alignment/>
    </xf>
    <xf numFmtId="171" fontId="2" fillId="0" borderId="0" xfId="15" applyNumberFormat="1" applyFont="1" applyAlignment="1">
      <alignment horizontal="left"/>
    </xf>
    <xf numFmtId="171" fontId="2" fillId="0" borderId="2" xfId="15" applyNumberFormat="1" applyFont="1" applyBorder="1" applyAlignment="1">
      <alignment horizontal="left"/>
    </xf>
    <xf numFmtId="171" fontId="2" fillId="0" borderId="1" xfId="15" applyNumberFormat="1" applyFont="1" applyBorder="1" applyAlignment="1">
      <alignment horizontal="left"/>
    </xf>
    <xf numFmtId="0" fontId="2" fillId="0" borderId="0" xfId="15" applyNumberFormat="1" applyFont="1" applyAlignment="1">
      <alignment/>
    </xf>
    <xf numFmtId="0" fontId="2" fillId="0" borderId="2" xfId="0" applyFont="1" applyBorder="1" applyAlignment="1">
      <alignment horizontal="center"/>
    </xf>
    <xf numFmtId="171" fontId="2" fillId="0" borderId="2" xfId="15" applyNumberFormat="1" applyFont="1" applyBorder="1" applyAlignment="1">
      <alignment horizontal="right"/>
    </xf>
    <xf numFmtId="171" fontId="5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 quotePrefix="1">
      <alignment horizontal="right"/>
    </xf>
    <xf numFmtId="17" fontId="2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/>
    </xf>
    <xf numFmtId="43" fontId="2" fillId="0" borderId="0" xfId="15" applyFont="1" applyFill="1" applyAlignment="1">
      <alignment/>
    </xf>
    <xf numFmtId="14" fontId="2" fillId="0" borderId="1" xfId="0" applyNumberFormat="1" applyFont="1" applyBorder="1" applyAlignment="1">
      <alignment/>
    </xf>
    <xf numFmtId="41" fontId="2" fillId="0" borderId="0" xfId="0" applyNumberFormat="1" applyFont="1" applyFill="1" applyAlignment="1">
      <alignment/>
    </xf>
    <xf numFmtId="0" fontId="6" fillId="0" borderId="0" xfId="15" applyNumberFormat="1" applyFont="1" applyAlignment="1">
      <alignment/>
    </xf>
    <xf numFmtId="43" fontId="2" fillId="2" borderId="0" xfId="15" applyNumberFormat="1" applyFont="1" applyFill="1" applyAlignment="1">
      <alignment horizontal="center"/>
    </xf>
    <xf numFmtId="171" fontId="2" fillId="0" borderId="13" xfId="15" applyNumberFormat="1" applyFont="1" applyBorder="1" applyAlignment="1">
      <alignment/>
    </xf>
    <xf numFmtId="16" fontId="2" fillId="0" borderId="0" xfId="0" applyNumberFormat="1" applyFont="1" applyAlignment="1">
      <alignment horizontal="center"/>
    </xf>
    <xf numFmtId="0" fontId="2" fillId="0" borderId="6" xfId="15" applyNumberFormat="1" applyFont="1" applyBorder="1" applyAlignment="1">
      <alignment/>
    </xf>
    <xf numFmtId="171" fontId="2" fillId="0" borderId="14" xfId="15" applyNumberFormat="1" applyFont="1" applyBorder="1" applyAlignment="1">
      <alignment/>
    </xf>
    <xf numFmtId="0" fontId="2" fillId="0" borderId="3" xfId="15" applyNumberFormat="1" applyFont="1" applyBorder="1" applyAlignment="1">
      <alignment/>
    </xf>
    <xf numFmtId="17" fontId="2" fillId="0" borderId="3" xfId="15" applyNumberFormat="1" applyFont="1" applyBorder="1" applyAlignment="1" quotePrefix="1">
      <alignment/>
    </xf>
    <xf numFmtId="171" fontId="2" fillId="0" borderId="8" xfId="15" applyNumberFormat="1" applyFont="1" applyBorder="1" applyAlignment="1">
      <alignment/>
    </xf>
    <xf numFmtId="171" fontId="2" fillId="0" borderId="9" xfId="15" applyNumberFormat="1" applyFont="1" applyBorder="1" applyAlignment="1">
      <alignment/>
    </xf>
    <xf numFmtId="0" fontId="2" fillId="0" borderId="11" xfId="15" applyNumberFormat="1" applyFont="1" applyBorder="1" applyAlignment="1">
      <alignment/>
    </xf>
    <xf numFmtId="171" fontId="2" fillId="0" borderId="11" xfId="15" applyNumberFormat="1" applyFont="1" applyBorder="1" applyAlignment="1">
      <alignment/>
    </xf>
    <xf numFmtId="171" fontId="2" fillId="0" borderId="3" xfId="15" applyNumberFormat="1" applyFont="1" applyBorder="1" applyAlignment="1">
      <alignment/>
    </xf>
    <xf numFmtId="171" fontId="2" fillId="0" borderId="15" xfId="15" applyNumberFormat="1" applyFont="1" applyBorder="1" applyAlignment="1">
      <alignment/>
    </xf>
    <xf numFmtId="171" fontId="2" fillId="0" borderId="6" xfId="15" applyNumberFormat="1" applyFont="1" applyBorder="1" applyAlignment="1">
      <alignment/>
    </xf>
    <xf numFmtId="171" fontId="2" fillId="0" borderId="7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6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17" fontId="2" fillId="0" borderId="11" xfId="15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171" fontId="2" fillId="0" borderId="2" xfId="15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14" fontId="2" fillId="0" borderId="0" xfId="0" applyNumberFormat="1" applyFont="1" applyAlignment="1">
      <alignment horizontal="left"/>
    </xf>
    <xf numFmtId="43" fontId="2" fillId="0" borderId="0" xfId="15" applyNumberFormat="1" applyFont="1" applyBorder="1" applyAlignment="1">
      <alignment horizontal="left" indent="1"/>
    </xf>
    <xf numFmtId="43" fontId="2" fillId="0" borderId="0" xfId="0" applyNumberFormat="1" applyFont="1" applyBorder="1" applyAlignment="1">
      <alignment/>
    </xf>
    <xf numFmtId="171" fontId="2" fillId="0" borderId="17" xfId="15" applyNumberFormat="1" applyFont="1" applyBorder="1" applyAlignment="1">
      <alignment horizontal="left"/>
    </xf>
    <xf numFmtId="171" fontId="2" fillId="0" borderId="0" xfId="15" applyNumberFormat="1" applyFont="1" applyBorder="1" applyAlignment="1">
      <alignment horizontal="left"/>
    </xf>
    <xf numFmtId="14" fontId="2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1" fontId="2" fillId="0" borderId="2" xfId="15" applyNumberFormat="1" applyFont="1" applyBorder="1" applyAlignment="1">
      <alignment horizontal="center"/>
    </xf>
    <xf numFmtId="43" fontId="2" fillId="0" borderId="0" xfId="15" applyFont="1" applyFill="1" applyAlignment="1">
      <alignment horizontal="right"/>
    </xf>
    <xf numFmtId="0" fontId="1" fillId="0" borderId="0" xfId="0" applyFont="1" applyAlignment="1">
      <alignment horizontal="center"/>
    </xf>
    <xf numFmtId="171" fontId="2" fillId="0" borderId="3" xfId="15" applyNumberFormat="1" applyFont="1" applyBorder="1" applyAlignment="1">
      <alignment horizontal="center"/>
    </xf>
    <xf numFmtId="171" fontId="2" fillId="0" borderId="8" xfId="15" applyNumberFormat="1" applyFont="1" applyBorder="1" applyAlignment="1">
      <alignment horizontal="center"/>
    </xf>
    <xf numFmtId="171" fontId="2" fillId="0" borderId="0" xfId="15" applyNumberFormat="1" applyFont="1" applyBorder="1" applyAlignment="1">
      <alignment horizontal="center"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0" xfId="15" applyNumberFormat="1" applyFont="1" applyFill="1" applyAlignment="1" quotePrefix="1">
      <alignment horizontal="center"/>
    </xf>
    <xf numFmtId="0" fontId="2" fillId="0" borderId="0" xfId="15" applyNumberFormat="1" applyFont="1" applyFill="1" applyAlignment="1">
      <alignment/>
    </xf>
    <xf numFmtId="14" fontId="1" fillId="0" borderId="0" xfId="0" applyNumberFormat="1" applyFont="1" applyFill="1" applyAlignment="1">
      <alignment horizontal="left"/>
    </xf>
    <xf numFmtId="171" fontId="2" fillId="0" borderId="2" xfId="15" applyNumberFormat="1" applyFont="1" applyFill="1" applyBorder="1" applyAlignment="1">
      <alignment/>
    </xf>
    <xf numFmtId="171" fontId="2" fillId="0" borderId="0" xfId="15" applyNumberFormat="1" applyFont="1" applyFill="1" applyAlignment="1">
      <alignment/>
    </xf>
    <xf numFmtId="171" fontId="2" fillId="0" borderId="4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1" fontId="2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171" fontId="2" fillId="0" borderId="13" xfId="15" applyNumberFormat="1" applyFont="1" applyFill="1" applyBorder="1" applyAlignment="1">
      <alignment/>
    </xf>
    <xf numFmtId="41" fontId="11" fillId="0" borderId="0" xfId="0" applyNumberFormat="1" applyFont="1" applyAlignment="1">
      <alignment/>
    </xf>
    <xf numFmtId="171" fontId="11" fillId="0" borderId="0" xfId="15" applyNumberFormat="1" applyFont="1" applyAlignment="1">
      <alignment/>
    </xf>
    <xf numFmtId="171" fontId="2" fillId="0" borderId="0" xfId="15" applyNumberFormat="1" applyFont="1" applyAlignment="1" quotePrefix="1">
      <alignment/>
    </xf>
    <xf numFmtId="171" fontId="2" fillId="0" borderId="0" xfId="15" applyNumberFormat="1" applyFont="1" applyFill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8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0" fontId="1" fillId="0" borderId="0" xfId="0" applyFont="1" applyAlignment="1" quotePrefix="1">
      <alignment/>
    </xf>
    <xf numFmtId="171" fontId="2" fillId="0" borderId="0" xfId="15" applyNumberFormat="1" applyFont="1" applyFill="1" applyBorder="1" applyAlignment="1">
      <alignment/>
    </xf>
    <xf numFmtId="171" fontId="2" fillId="0" borderId="2" xfId="15" applyNumberFormat="1" applyFont="1" applyFill="1" applyBorder="1" applyAlignment="1">
      <alignment/>
    </xf>
    <xf numFmtId="0" fontId="2" fillId="0" borderId="0" xfId="15" applyNumberFormat="1" applyFont="1" applyFill="1" applyAlignment="1">
      <alignment horizontal="center"/>
    </xf>
    <xf numFmtId="14" fontId="2" fillId="0" borderId="0" xfId="0" applyNumberFormat="1" applyFont="1" applyAlignment="1" quotePrefix="1">
      <alignment/>
    </xf>
    <xf numFmtId="0" fontId="10" fillId="0" borderId="0" xfId="0" applyFont="1" applyFill="1" applyAlignment="1">
      <alignment/>
    </xf>
    <xf numFmtId="43" fontId="2" fillId="0" borderId="0" xfId="15" applyFont="1" applyAlignment="1">
      <alignment/>
    </xf>
    <xf numFmtId="43" fontId="2" fillId="0" borderId="12" xfId="15" applyFont="1" applyBorder="1" applyAlignment="1">
      <alignment/>
    </xf>
    <xf numFmtId="0" fontId="2" fillId="0" borderId="0" xfId="15" applyNumberFormat="1" applyFont="1" applyFill="1" applyAlignment="1" quotePrefix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171" fontId="2" fillId="0" borderId="19" xfId="15" applyNumberFormat="1" applyFont="1" applyBorder="1" applyAlignment="1">
      <alignment/>
    </xf>
    <xf numFmtId="171" fontId="2" fillId="0" borderId="12" xfId="0" applyNumberFormat="1" applyFont="1" applyBorder="1" applyAlignment="1">
      <alignment/>
    </xf>
    <xf numFmtId="171" fontId="2" fillId="0" borderId="19" xfId="0" applyNumberFormat="1" applyFont="1" applyBorder="1" applyAlignment="1">
      <alignment/>
    </xf>
    <xf numFmtId="171" fontId="2" fillId="0" borderId="12" xfId="15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13" xfId="15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43" fontId="2" fillId="0" borderId="12" xfId="15" applyNumberFormat="1" applyFont="1" applyFill="1" applyBorder="1" applyAlignment="1">
      <alignment horizontal="left" indent="1"/>
    </xf>
    <xf numFmtId="171" fontId="2" fillId="0" borderId="13" xfId="15" applyNumberFormat="1" applyFont="1" applyFill="1" applyBorder="1" applyAlignment="1">
      <alignment/>
    </xf>
    <xf numFmtId="43" fontId="2" fillId="0" borderId="12" xfId="15" applyNumberFormat="1" applyFont="1" applyFill="1" applyBorder="1" applyAlignment="1">
      <alignment/>
    </xf>
    <xf numFmtId="171" fontId="2" fillId="0" borderId="12" xfId="15" applyNumberFormat="1" applyFont="1" applyFill="1" applyBorder="1" applyAlignment="1">
      <alignment/>
    </xf>
    <xf numFmtId="171" fontId="2" fillId="0" borderId="19" xfId="15" applyNumberFormat="1" applyFont="1" applyFill="1" applyBorder="1" applyAlignment="1">
      <alignment/>
    </xf>
    <xf numFmtId="171" fontId="1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 quotePrefix="1">
      <alignment horizontal="left"/>
    </xf>
    <xf numFmtId="0" fontId="1" fillId="0" borderId="2" xfId="0" applyFont="1" applyBorder="1" applyAlignment="1">
      <alignment horizontal="center"/>
    </xf>
    <xf numFmtId="171" fontId="2" fillId="0" borderId="14" xfId="15" applyNumberFormat="1" applyFont="1" applyBorder="1" applyAlignment="1">
      <alignment horizontal="center"/>
    </xf>
    <xf numFmtId="171" fontId="2" fillId="0" borderId="7" xfId="15" applyNumberFormat="1" applyFont="1" applyBorder="1" applyAlignment="1">
      <alignment horizontal="center"/>
    </xf>
    <xf numFmtId="171" fontId="2" fillId="0" borderId="2" xfId="15" applyNumberFormat="1" applyFont="1" applyBorder="1" applyAlignment="1">
      <alignment horizontal="center"/>
    </xf>
    <xf numFmtId="171" fontId="2" fillId="0" borderId="9" xfId="15" applyNumberFormat="1" applyFont="1" applyBorder="1" applyAlignment="1">
      <alignment horizontal="center"/>
    </xf>
    <xf numFmtId="171" fontId="2" fillId="0" borderId="11" xfId="15" applyNumberFormat="1" applyFont="1" applyBorder="1" applyAlignment="1">
      <alignment horizontal="center"/>
    </xf>
    <xf numFmtId="171" fontId="2" fillId="0" borderId="10" xfId="15" applyNumberFormat="1" applyFont="1" applyBorder="1" applyAlignment="1">
      <alignment horizontal="center"/>
    </xf>
    <xf numFmtId="171" fontId="2" fillId="0" borderId="17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2"/>
  <sheetViews>
    <sheetView showGridLines="0" workbookViewId="0" topLeftCell="A37">
      <selection activeCell="F41" sqref="F41"/>
    </sheetView>
  </sheetViews>
  <sheetFormatPr defaultColWidth="9.140625" defaultRowHeight="12.75"/>
  <cols>
    <col min="1" max="1" width="8.421875" style="55" customWidth="1"/>
    <col min="2" max="4" width="8.421875" style="39" customWidth="1"/>
    <col min="5" max="5" width="6.57421875" style="39" customWidth="1"/>
    <col min="6" max="9" width="12.7109375" style="39" customWidth="1"/>
    <col min="10" max="16384" width="9.140625" style="39" customWidth="1"/>
  </cols>
  <sheetData>
    <row r="4" ht="10.5" customHeight="1"/>
    <row r="5" ht="15">
      <c r="A5" s="5" t="str">
        <f>Cover!B10</f>
        <v>UNAUDITED QUARTERLY FINANCIAL REPORT FOR THE PERIOD ENDED 31 JANUARY 2006</v>
      </c>
    </row>
    <row r="6" ht="5.25" customHeight="1">
      <c r="A6" s="5"/>
    </row>
    <row r="7" ht="15">
      <c r="A7" s="53" t="s">
        <v>286</v>
      </c>
    </row>
    <row r="8" ht="5.25" customHeight="1"/>
    <row r="9" spans="5:9" ht="15">
      <c r="E9" s="38"/>
      <c r="F9" s="190" t="s">
        <v>12</v>
      </c>
      <c r="G9" s="190"/>
      <c r="H9" s="190" t="s">
        <v>339</v>
      </c>
      <c r="I9" s="190"/>
    </row>
    <row r="10" spans="5:9" ht="15">
      <c r="E10" s="38"/>
      <c r="F10" s="145" t="s">
        <v>337</v>
      </c>
      <c r="G10" s="145" t="s">
        <v>338</v>
      </c>
      <c r="H10" s="145" t="s">
        <v>337</v>
      </c>
      <c r="I10" s="145" t="s">
        <v>338</v>
      </c>
    </row>
    <row r="11" spans="5:9" ht="15">
      <c r="E11" s="40"/>
      <c r="F11" s="40" t="s">
        <v>13</v>
      </c>
      <c r="G11" s="40" t="s">
        <v>13</v>
      </c>
      <c r="H11" s="40" t="s">
        <v>13</v>
      </c>
      <c r="I11" s="40" t="s">
        <v>13</v>
      </c>
    </row>
    <row r="12" spans="1:9" ht="22.5" customHeight="1" thickBot="1">
      <c r="A12" s="80" t="s">
        <v>14</v>
      </c>
      <c r="B12" s="41"/>
      <c r="C12" s="41"/>
      <c r="D12" s="41"/>
      <c r="E12" s="41"/>
      <c r="F12" s="42">
        <f>+H12-1370901</f>
        <v>775817</v>
      </c>
      <c r="G12" s="41">
        <v>671639</v>
      </c>
      <c r="H12" s="42">
        <v>2146718</v>
      </c>
      <c r="I12" s="41">
        <v>1946815</v>
      </c>
    </row>
    <row r="13" spans="6:8" ht="15">
      <c r="F13" s="43"/>
      <c r="H13" s="43"/>
    </row>
    <row r="14" spans="1:9" ht="15">
      <c r="A14" s="55" t="s">
        <v>102</v>
      </c>
      <c r="F14" s="43">
        <f>+H14-255093</f>
        <v>138453</v>
      </c>
      <c r="G14" s="39">
        <v>118871</v>
      </c>
      <c r="H14" s="43">
        <f>-84988-65749+2533-5822-4237-1861-257-8307+562305-71</f>
        <v>393546</v>
      </c>
      <c r="I14" s="39">
        <v>341329</v>
      </c>
    </row>
    <row r="15" spans="6:8" ht="15">
      <c r="F15" s="43"/>
      <c r="H15" s="43"/>
    </row>
    <row r="16" spans="1:9" ht="15">
      <c r="A16" s="55" t="s">
        <v>192</v>
      </c>
      <c r="F16" s="43">
        <f>+H16-48801</f>
        <v>11563</v>
      </c>
      <c r="G16" s="39">
        <v>14436</v>
      </c>
      <c r="H16" s="43">
        <f>24278+36085+1</f>
        <v>60364</v>
      </c>
      <c r="I16" s="39">
        <v>43276</v>
      </c>
    </row>
    <row r="17" spans="1:9" ht="15">
      <c r="A17" s="55" t="s">
        <v>226</v>
      </c>
      <c r="F17" s="43">
        <f>+H17--4773</f>
        <v>-916</v>
      </c>
      <c r="G17" s="39">
        <v>2811</v>
      </c>
      <c r="H17" s="43">
        <f>-962-2-4725</f>
        <v>-5689</v>
      </c>
      <c r="I17" s="39">
        <v>-2108</v>
      </c>
    </row>
    <row r="18" spans="1:9" ht="15">
      <c r="A18" s="55" t="s">
        <v>15</v>
      </c>
      <c r="F18" s="43">
        <f>+H18--4089</f>
        <v>-6538</v>
      </c>
      <c r="G18" s="39">
        <v>-2718</v>
      </c>
      <c r="H18" s="43">
        <v>-10627</v>
      </c>
      <c r="I18" s="39">
        <v>-7935</v>
      </c>
    </row>
    <row r="19" spans="1:9" ht="15">
      <c r="A19" s="55" t="s">
        <v>76</v>
      </c>
      <c r="F19" s="43">
        <f>+H19-23</f>
        <v>7</v>
      </c>
      <c r="G19" s="39">
        <v>0</v>
      </c>
      <c r="H19" s="43">
        <v>30</v>
      </c>
      <c r="I19" s="39">
        <v>-404</v>
      </c>
    </row>
    <row r="20" spans="1:9" ht="9.75" customHeight="1">
      <c r="A20" s="81"/>
      <c r="B20" s="44"/>
      <c r="C20" s="44"/>
      <c r="D20" s="44"/>
      <c r="E20" s="44"/>
      <c r="F20" s="45"/>
      <c r="G20" s="44"/>
      <c r="H20" s="45"/>
      <c r="I20" s="44"/>
    </row>
    <row r="21" spans="1:9" ht="17.25" customHeight="1">
      <c r="A21" s="55" t="s">
        <v>16</v>
      </c>
      <c r="F21" s="43">
        <f>SUM(F14:F20)</f>
        <v>142569</v>
      </c>
      <c r="G21" s="39">
        <f>SUM(G14:G20)</f>
        <v>133400</v>
      </c>
      <c r="H21" s="43">
        <f>SUM(H14:H20)</f>
        <v>437624</v>
      </c>
      <c r="I21" s="39">
        <f>SUM(I14:I20)</f>
        <v>374158</v>
      </c>
    </row>
    <row r="22" spans="6:8" ht="17.25" customHeight="1">
      <c r="F22" s="43"/>
      <c r="H22" s="43"/>
    </row>
    <row r="23" spans="1:9" ht="18.75" customHeight="1">
      <c r="A23" s="82" t="s">
        <v>17</v>
      </c>
      <c r="B23" s="46"/>
      <c r="C23" s="46"/>
      <c r="D23" s="46"/>
      <c r="E23" s="46"/>
      <c r="F23" s="47">
        <f>+H23--85432</f>
        <v>-43909</v>
      </c>
      <c r="G23" s="46">
        <v>-39698</v>
      </c>
      <c r="H23" s="47">
        <v>-129341</v>
      </c>
      <c r="I23" s="46">
        <v>-117128</v>
      </c>
    </row>
    <row r="24" spans="1:9" ht="20.25" customHeight="1">
      <c r="A24" s="55" t="s">
        <v>18</v>
      </c>
      <c r="F24" s="43">
        <f>SUM(F21:F23)</f>
        <v>98660</v>
      </c>
      <c r="G24" s="39">
        <f>SUM(G21:G23)</f>
        <v>93702</v>
      </c>
      <c r="H24" s="43">
        <f>SUM(H21:H23)</f>
        <v>308283</v>
      </c>
      <c r="I24" s="39">
        <f>SUM(I21:I23)</f>
        <v>257030</v>
      </c>
    </row>
    <row r="25" spans="6:8" ht="16.5" customHeight="1">
      <c r="F25" s="43"/>
      <c r="H25" s="43"/>
    </row>
    <row r="26" spans="1:9" ht="15">
      <c r="A26" s="146" t="s">
        <v>205</v>
      </c>
      <c r="F26" s="43">
        <f>+H26--887</f>
        <v>-1260</v>
      </c>
      <c r="G26" s="39">
        <v>-572</v>
      </c>
      <c r="H26" s="43">
        <v>-2147</v>
      </c>
      <c r="I26" s="39">
        <v>-1319</v>
      </c>
    </row>
    <row r="27" spans="1:9" ht="9.75" customHeight="1">
      <c r="A27" s="81"/>
      <c r="B27" s="44"/>
      <c r="C27" s="44"/>
      <c r="D27" s="44"/>
      <c r="E27" s="44"/>
      <c r="F27" s="45"/>
      <c r="G27" s="44"/>
      <c r="H27" s="45"/>
      <c r="I27" s="44"/>
    </row>
    <row r="28" spans="1:8" ht="21.75" customHeight="1">
      <c r="A28" s="55" t="s">
        <v>232</v>
      </c>
      <c r="F28" s="43"/>
      <c r="H28" s="43"/>
    </row>
    <row r="29" spans="1:9" ht="15">
      <c r="A29" s="55" t="s">
        <v>56</v>
      </c>
      <c r="F29" s="43">
        <f>+F24+F26</f>
        <v>97400</v>
      </c>
      <c r="G29" s="39">
        <f>+G24+G26</f>
        <v>93130</v>
      </c>
      <c r="H29" s="43">
        <f>+H24+H26</f>
        <v>306136</v>
      </c>
      <c r="I29" s="39">
        <f>+I24+I26</f>
        <v>255711</v>
      </c>
    </row>
    <row r="30" spans="1:9" ht="9" customHeight="1" thickBot="1">
      <c r="A30" s="83"/>
      <c r="B30" s="48"/>
      <c r="C30" s="48"/>
      <c r="D30" s="48"/>
      <c r="E30" s="48"/>
      <c r="F30" s="49"/>
      <c r="G30" s="48"/>
      <c r="H30" s="49"/>
      <c r="I30" s="48"/>
    </row>
    <row r="31" spans="6:8" ht="9" customHeight="1">
      <c r="F31" s="43"/>
      <c r="H31" s="43"/>
    </row>
    <row r="32" spans="1:8" ht="15">
      <c r="A32" s="55" t="s">
        <v>233</v>
      </c>
      <c r="F32" s="43"/>
      <c r="H32" s="43"/>
    </row>
    <row r="33" spans="1:11" ht="15.75" customHeight="1">
      <c r="A33" s="55" t="s">
        <v>285</v>
      </c>
      <c r="F33" s="50">
        <f>+'Notes (2)'!I227</f>
        <v>7.744055006642872</v>
      </c>
      <c r="G33" s="51">
        <f>+'Notes (2)'!J227</f>
        <v>9.621205703506115</v>
      </c>
      <c r="H33" s="50">
        <f>+'Notes (2)'!I244</f>
        <v>25.29395288656736</v>
      </c>
      <c r="I33" s="51">
        <f>+'Notes (2)'!J244</f>
        <v>26.045731362621044</v>
      </c>
      <c r="K33" s="149"/>
    </row>
    <row r="34" spans="6:8" ht="8.25" customHeight="1">
      <c r="F34" s="43"/>
      <c r="H34" s="43"/>
    </row>
    <row r="35" spans="1:9" ht="15">
      <c r="A35" s="55" t="s">
        <v>19</v>
      </c>
      <c r="F35" s="105" t="s">
        <v>400</v>
      </c>
      <c r="G35" s="51">
        <f>+'Notes (2)'!J234</f>
        <v>7.807133421400264</v>
      </c>
      <c r="H35" s="105" t="s">
        <v>400</v>
      </c>
      <c r="I35" s="51">
        <f>+'Notes (2)'!J251</f>
        <v>21.340209613646152</v>
      </c>
    </row>
    <row r="36" spans="1:9" ht="9" customHeight="1" thickBot="1">
      <c r="A36" s="83"/>
      <c r="B36" s="48"/>
      <c r="C36" s="48"/>
      <c r="D36" s="48"/>
      <c r="E36" s="48"/>
      <c r="F36" s="49"/>
      <c r="G36" s="48"/>
      <c r="H36" s="49"/>
      <c r="I36" s="48"/>
    </row>
    <row r="37" spans="6:8" ht="9.75" customHeight="1">
      <c r="F37" s="43"/>
      <c r="H37" s="43"/>
    </row>
    <row r="38" spans="1:9" ht="15">
      <c r="A38" s="55" t="s">
        <v>68</v>
      </c>
      <c r="F38" s="50"/>
      <c r="G38" s="51"/>
      <c r="H38" s="50"/>
      <c r="I38" s="51"/>
    </row>
    <row r="39" spans="1:9" ht="15">
      <c r="A39" s="56" t="s">
        <v>190</v>
      </c>
      <c r="F39" s="50">
        <v>0</v>
      </c>
      <c r="G39" s="51">
        <v>0</v>
      </c>
      <c r="H39" s="50">
        <f>12.5*0.72</f>
        <v>9</v>
      </c>
      <c r="I39" s="51">
        <f>10*0.72</f>
        <v>7.199999999999999</v>
      </c>
    </row>
    <row r="40" spans="1:9" ht="15">
      <c r="A40" s="56" t="s">
        <v>294</v>
      </c>
      <c r="F40" s="50">
        <v>0</v>
      </c>
      <c r="G40" s="51">
        <v>0</v>
      </c>
      <c r="H40" s="50">
        <f>12.5*0.72</f>
        <v>9</v>
      </c>
      <c r="I40" s="51">
        <f>8*0.72</f>
        <v>5.76</v>
      </c>
    </row>
    <row r="41" spans="1:9" ht="15">
      <c r="A41" s="56" t="s">
        <v>351</v>
      </c>
      <c r="F41" s="50">
        <f>11*0.72</f>
        <v>7.92</v>
      </c>
      <c r="G41" s="51">
        <f>16*0.72</f>
        <v>11.52</v>
      </c>
      <c r="H41" s="50">
        <f>11*0.72</f>
        <v>7.92</v>
      </c>
      <c r="I41" s="51">
        <f>16*0.72</f>
        <v>11.52</v>
      </c>
    </row>
    <row r="42" spans="1:9" ht="8.25" customHeight="1" thickBot="1">
      <c r="A42" s="83"/>
      <c r="B42" s="48"/>
      <c r="C42" s="48"/>
      <c r="D42" s="48"/>
      <c r="E42" s="48"/>
      <c r="F42" s="49"/>
      <c r="G42" s="48"/>
      <c r="H42" s="49"/>
      <c r="I42" s="48"/>
    </row>
    <row r="44" spans="6:9" ht="15">
      <c r="F44" s="149"/>
      <c r="I44" s="52"/>
    </row>
    <row r="45" spans="6:9" ht="15">
      <c r="F45" s="149"/>
      <c r="I45" s="52"/>
    </row>
    <row r="46" spans="6:9" ht="15" customHeight="1">
      <c r="F46" s="149"/>
      <c r="I46" s="52"/>
    </row>
    <row r="47" spans="6:9" ht="15" customHeight="1">
      <c r="F47" s="149"/>
      <c r="I47" s="52"/>
    </row>
    <row r="48" spans="6:9" ht="15" customHeight="1">
      <c r="F48" s="149"/>
      <c r="I48" s="52"/>
    </row>
    <row r="49" spans="6:9" ht="15" customHeight="1">
      <c r="F49" s="149"/>
      <c r="I49" s="52"/>
    </row>
    <row r="50" spans="6:9" ht="15" customHeight="1">
      <c r="F50" s="149"/>
      <c r="I50" s="52"/>
    </row>
    <row r="51" spans="6:9" ht="15" customHeight="1">
      <c r="F51" s="149"/>
      <c r="I51" s="52"/>
    </row>
    <row r="52" ht="20.25" customHeight="1">
      <c r="A52" s="84" t="s">
        <v>219</v>
      </c>
    </row>
    <row r="53" ht="6.75" customHeight="1"/>
  </sheetData>
  <mergeCells count="2">
    <mergeCell ref="F9:G9"/>
    <mergeCell ref="H9:I9"/>
  </mergeCells>
  <printOptions/>
  <pageMargins left="0.75" right="0.49" top="0.86" bottom="0.31" header="0.5" footer="0.5"/>
  <pageSetup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31-1-2006</oddHeader>
    <oddFooter>&amp;R&amp;"Arial,Bold"    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21" sqref="B21"/>
    </sheetView>
  </sheetViews>
  <sheetFormatPr defaultColWidth="9.140625" defaultRowHeight="12.75"/>
  <cols>
    <col min="1" max="7" width="9.140625" style="2" customWidth="1"/>
    <col min="8" max="8" width="10.8515625" style="2" customWidth="1"/>
    <col min="9" max="9" width="9.140625" style="2" customWidth="1"/>
    <col min="10" max="10" width="7.421875" style="2" customWidth="1"/>
    <col min="11" max="16384" width="9.140625" style="2" customWidth="1"/>
  </cols>
  <sheetData>
    <row r="1" spans="1:10" ht="18.75" customHeight="1">
      <c r="A1" s="191" t="s">
        <v>100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5" customHeight="1">
      <c r="A2" s="192" t="s">
        <v>101</v>
      </c>
      <c r="B2" s="192"/>
      <c r="C2" s="192"/>
      <c r="D2" s="192"/>
      <c r="E2" s="192"/>
      <c r="F2" s="192"/>
      <c r="G2" s="192"/>
      <c r="H2" s="192"/>
      <c r="I2" s="192"/>
      <c r="J2" s="192"/>
    </row>
    <row r="10" spans="1:9" ht="27.75" customHeight="1">
      <c r="A10" s="99" t="s">
        <v>78</v>
      </c>
      <c r="B10" s="193" t="s">
        <v>336</v>
      </c>
      <c r="C10" s="193"/>
      <c r="D10" s="193"/>
      <c r="E10" s="193"/>
      <c r="F10" s="193"/>
      <c r="G10" s="193"/>
      <c r="H10" s="98"/>
      <c r="I10" s="98"/>
    </row>
    <row r="12" spans="2:9" ht="15">
      <c r="B12" s="95" t="s">
        <v>86</v>
      </c>
      <c r="I12" s="68" t="s">
        <v>87</v>
      </c>
    </row>
    <row r="13" ht="9" customHeight="1"/>
    <row r="14" spans="2:9" ht="15">
      <c r="B14" s="2" t="s">
        <v>82</v>
      </c>
      <c r="I14" s="68">
        <v>1</v>
      </c>
    </row>
    <row r="15" ht="9" customHeight="1">
      <c r="I15" s="68"/>
    </row>
    <row r="16" spans="2:9" ht="15">
      <c r="B16" s="2" t="s">
        <v>83</v>
      </c>
      <c r="I16" s="68">
        <v>2</v>
      </c>
    </row>
    <row r="17" ht="9" customHeight="1">
      <c r="I17" s="68"/>
    </row>
    <row r="18" spans="2:9" ht="15">
      <c r="B18" s="2" t="s">
        <v>84</v>
      </c>
      <c r="I18" s="68">
        <v>3</v>
      </c>
    </row>
    <row r="19" ht="9" customHeight="1">
      <c r="I19" s="68"/>
    </row>
    <row r="20" spans="2:9" ht="15">
      <c r="B20" s="2" t="s">
        <v>85</v>
      </c>
      <c r="I20" s="68">
        <v>4</v>
      </c>
    </row>
    <row r="21" ht="9" customHeight="1">
      <c r="I21" s="68"/>
    </row>
    <row r="22" spans="2:9" ht="15">
      <c r="B22" s="2" t="s">
        <v>218</v>
      </c>
      <c r="I22" s="96" t="s">
        <v>10</v>
      </c>
    </row>
    <row r="23" ht="9" customHeight="1">
      <c r="I23" s="68"/>
    </row>
    <row r="24" spans="2:10" ht="15">
      <c r="B24" s="2" t="s">
        <v>204</v>
      </c>
      <c r="J24" s="94"/>
    </row>
    <row r="25" spans="3:9" ht="15">
      <c r="C25" s="2" t="s">
        <v>203</v>
      </c>
      <c r="I25" s="97" t="s">
        <v>9</v>
      </c>
    </row>
  </sheetData>
  <mergeCells count="3">
    <mergeCell ref="A1:J1"/>
    <mergeCell ref="A2:J2"/>
    <mergeCell ref="B10:G10"/>
  </mergeCells>
  <printOptions/>
  <pageMargins left="0.79" right="0.3" top="1" bottom="1" header="0.5" footer="0.5"/>
  <pageSetup firstPageNumber="0" useFirstPageNumber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showGridLines="0" workbookViewId="0" topLeftCell="A32">
      <selection activeCell="H28" sqref="H28"/>
    </sheetView>
  </sheetViews>
  <sheetFormatPr defaultColWidth="9.140625" defaultRowHeight="12.75"/>
  <cols>
    <col min="1" max="2" width="9.140625" style="2" customWidth="1"/>
    <col min="3" max="3" width="10.140625" style="2" customWidth="1"/>
    <col min="4" max="4" width="9.140625" style="2" customWidth="1"/>
    <col min="5" max="5" width="17.421875" style="2" customWidth="1"/>
    <col min="6" max="6" width="13.421875" style="2" customWidth="1"/>
    <col min="7" max="7" width="7.57421875" style="2" customWidth="1"/>
    <col min="8" max="8" width="12.7109375" style="28" customWidth="1"/>
    <col min="9" max="9" width="13.57421875" style="3" customWidth="1"/>
    <col min="10" max="10" width="1.1484375" style="4" customWidth="1"/>
    <col min="11" max="11" width="1.1484375" style="2" customWidth="1"/>
    <col min="12" max="16384" width="9.140625" style="2" customWidth="1"/>
  </cols>
  <sheetData>
    <row r="1" ht="9.75" customHeight="1">
      <c r="H1" s="3"/>
    </row>
    <row r="2" ht="18.75" customHeight="1">
      <c r="H2" s="3"/>
    </row>
    <row r="3" ht="3" customHeight="1" hidden="1">
      <c r="H3" s="3"/>
    </row>
    <row r="4" spans="1:8" ht="12.75" customHeight="1">
      <c r="A4" s="5" t="str">
        <f>PL!A5</f>
        <v>UNAUDITED QUARTERLY FINANCIAL REPORT FOR THE PERIOD ENDED 31 JANUARY 2006</v>
      </c>
      <c r="H4" s="3"/>
    </row>
    <row r="5" spans="1:9" ht="12.75" customHeight="1">
      <c r="A5" s="69" t="s">
        <v>81</v>
      </c>
      <c r="B5" s="6"/>
      <c r="C5" s="6"/>
      <c r="D5" s="6"/>
      <c r="E5" s="6"/>
      <c r="F5" s="6"/>
      <c r="G5" s="6"/>
      <c r="H5" s="7"/>
      <c r="I5" s="7"/>
    </row>
    <row r="6" spans="1:10" ht="14.25" customHeight="1">
      <c r="A6" s="2" t="s">
        <v>20</v>
      </c>
      <c r="G6" s="5"/>
      <c r="H6" s="194" t="s">
        <v>33</v>
      </c>
      <c r="I6" s="194"/>
      <c r="J6" s="8"/>
    </row>
    <row r="7" spans="7:10" ht="13.5" customHeight="1">
      <c r="G7" s="5"/>
      <c r="H7" s="9" t="str">
        <f>+PL!H10</f>
        <v>31-1-2006</v>
      </c>
      <c r="I7" s="9" t="s">
        <v>228</v>
      </c>
      <c r="J7" s="8"/>
    </row>
    <row r="8" spans="1:10" ht="13.5" customHeight="1" thickBot="1">
      <c r="A8" s="10"/>
      <c r="B8" s="10"/>
      <c r="C8" s="10"/>
      <c r="D8" s="10"/>
      <c r="E8" s="10"/>
      <c r="F8" s="10"/>
      <c r="G8" s="1"/>
      <c r="H8" s="11" t="s">
        <v>13</v>
      </c>
      <c r="I8" s="11" t="s">
        <v>13</v>
      </c>
      <c r="J8" s="8"/>
    </row>
    <row r="9" spans="1:10" ht="14.25" customHeight="1">
      <c r="A9" s="8" t="s">
        <v>183</v>
      </c>
      <c r="B9" s="4"/>
      <c r="C9" s="4"/>
      <c r="D9" s="4"/>
      <c r="E9" s="4"/>
      <c r="F9" s="4"/>
      <c r="G9" s="12"/>
      <c r="H9" s="13"/>
      <c r="I9" s="13"/>
      <c r="J9" s="8"/>
    </row>
    <row r="10" spans="1:9" ht="14.25" customHeight="1">
      <c r="A10" s="2" t="s">
        <v>34</v>
      </c>
      <c r="H10" s="14">
        <v>74076</v>
      </c>
      <c r="I10" s="15">
        <v>72777</v>
      </c>
    </row>
    <row r="11" spans="1:9" ht="14.25" customHeight="1">
      <c r="A11" s="2" t="s">
        <v>103</v>
      </c>
      <c r="H11" s="15">
        <v>17840</v>
      </c>
      <c r="I11" s="15">
        <v>23522</v>
      </c>
    </row>
    <row r="12" spans="1:9" ht="14.25" customHeight="1">
      <c r="A12" s="2" t="s">
        <v>91</v>
      </c>
      <c r="H12" s="15">
        <v>48700</v>
      </c>
      <c r="I12" s="15">
        <v>48041</v>
      </c>
    </row>
    <row r="13" spans="1:9" ht="14.25" customHeight="1">
      <c r="A13" s="2" t="s">
        <v>92</v>
      </c>
      <c r="H13" s="15">
        <v>347</v>
      </c>
      <c r="I13" s="15">
        <v>319</v>
      </c>
    </row>
    <row r="14" spans="1:9" ht="14.25" customHeight="1">
      <c r="A14" s="2" t="s">
        <v>206</v>
      </c>
      <c r="H14" s="15">
        <v>685</v>
      </c>
      <c r="I14" s="15">
        <v>3393</v>
      </c>
    </row>
    <row r="15" spans="1:9" ht="14.25" customHeight="1">
      <c r="A15" s="2" t="s">
        <v>304</v>
      </c>
      <c r="H15" s="15">
        <v>2427</v>
      </c>
      <c r="I15" s="15">
        <v>0</v>
      </c>
    </row>
    <row r="16" spans="1:9" ht="14.25" customHeight="1">
      <c r="A16" s="2" t="s">
        <v>207</v>
      </c>
      <c r="H16" s="15">
        <v>419</v>
      </c>
      <c r="I16" s="15">
        <v>407</v>
      </c>
    </row>
    <row r="17" spans="1:9" ht="14.25" customHeight="1">
      <c r="A17" s="4" t="s">
        <v>464</v>
      </c>
      <c r="B17" s="4"/>
      <c r="C17" s="4"/>
      <c r="D17" s="4"/>
      <c r="E17" s="4"/>
      <c r="F17" s="4"/>
      <c r="G17" s="4"/>
      <c r="H17" s="15">
        <v>612646</v>
      </c>
      <c r="I17" s="15">
        <v>609422</v>
      </c>
    </row>
    <row r="18" spans="1:9" ht="1.5" customHeight="1" hidden="1">
      <c r="A18" s="4"/>
      <c r="B18" s="4"/>
      <c r="C18" s="4"/>
      <c r="D18" s="4"/>
      <c r="E18" s="4"/>
      <c r="F18" s="4"/>
      <c r="G18" s="4"/>
      <c r="H18" s="15"/>
      <c r="I18" s="15"/>
    </row>
    <row r="19" spans="1:9" ht="14.25" customHeight="1">
      <c r="A19" s="5" t="s">
        <v>21</v>
      </c>
      <c r="H19" s="15"/>
      <c r="I19" s="15"/>
    </row>
    <row r="20" spans="1:10" ht="14.25" customHeight="1">
      <c r="A20" s="2" t="s">
        <v>104</v>
      </c>
      <c r="H20" s="31">
        <v>14656</v>
      </c>
      <c r="I20" s="33">
        <v>14337</v>
      </c>
      <c r="J20" s="17"/>
    </row>
    <row r="21" spans="1:10" ht="14.25" customHeight="1">
      <c r="A21" s="2" t="s">
        <v>208</v>
      </c>
      <c r="H21" s="32">
        <f>62028+52574</f>
        <v>114602</v>
      </c>
      <c r="I21" s="34">
        <v>68357</v>
      </c>
      <c r="J21" s="17"/>
    </row>
    <row r="22" spans="1:10" ht="14.25" customHeight="1">
      <c r="A22" s="2" t="s">
        <v>201</v>
      </c>
      <c r="H22" s="32">
        <v>2809</v>
      </c>
      <c r="I22" s="34">
        <v>2952</v>
      </c>
      <c r="J22" s="17"/>
    </row>
    <row r="23" spans="1:10" ht="14.25" customHeight="1">
      <c r="A23" s="2" t="s">
        <v>209</v>
      </c>
      <c r="H23" s="32">
        <v>543293</v>
      </c>
      <c r="I23" s="34">
        <v>693114</v>
      </c>
      <c r="J23" s="17"/>
    </row>
    <row r="24" spans="1:10" ht="14.25" customHeight="1">
      <c r="A24" s="2" t="s">
        <v>105</v>
      </c>
      <c r="H24" s="32">
        <v>435559</v>
      </c>
      <c r="I24" s="34">
        <v>323182</v>
      </c>
      <c r="J24" s="17"/>
    </row>
    <row r="25" spans="1:10" ht="14.25" customHeight="1">
      <c r="A25" s="30" t="s">
        <v>22</v>
      </c>
      <c r="B25" s="30"/>
      <c r="C25" s="30"/>
      <c r="D25" s="30"/>
      <c r="E25" s="30"/>
      <c r="F25" s="30"/>
      <c r="G25" s="30"/>
      <c r="H25" s="37">
        <v>37755</v>
      </c>
      <c r="I25" s="35">
        <v>20392</v>
      </c>
      <c r="J25" s="18"/>
    </row>
    <row r="26" spans="1:10" ht="14.25" customHeight="1">
      <c r="A26" s="4"/>
      <c r="B26" s="4"/>
      <c r="C26" s="4"/>
      <c r="D26" s="4"/>
      <c r="E26" s="4"/>
      <c r="F26" s="4"/>
      <c r="G26" s="4"/>
      <c r="H26" s="36">
        <f>SUM(H20:H25)</f>
        <v>1148674</v>
      </c>
      <c r="I26" s="29">
        <f>SUM(I20:I25)</f>
        <v>1122334</v>
      </c>
      <c r="J26" s="17"/>
    </row>
    <row r="27" spans="1:10" ht="14.25" customHeight="1">
      <c r="A27" s="5" t="s">
        <v>23</v>
      </c>
      <c r="H27" s="32"/>
      <c r="I27" s="34"/>
      <c r="J27" s="17"/>
    </row>
    <row r="28" spans="1:10" ht="14.25" customHeight="1">
      <c r="A28" s="2" t="s">
        <v>210</v>
      </c>
      <c r="H28" s="32">
        <f>49028+155723</f>
        <v>204751</v>
      </c>
      <c r="I28" s="34">
        <v>194974</v>
      </c>
      <c r="J28" s="17"/>
    </row>
    <row r="29" spans="1:10" ht="14.25" customHeight="1">
      <c r="A29" s="2" t="s">
        <v>211</v>
      </c>
      <c r="H29" s="32">
        <v>101</v>
      </c>
      <c r="I29" s="34">
        <v>1396</v>
      </c>
      <c r="J29" s="17"/>
    </row>
    <row r="30" spans="1:10" ht="14.25" customHeight="1">
      <c r="A30" s="2" t="s">
        <v>24</v>
      </c>
      <c r="H30" s="32">
        <v>100000</v>
      </c>
      <c r="I30" s="34">
        <v>3477</v>
      </c>
      <c r="J30" s="17"/>
    </row>
    <row r="31" spans="1:10" ht="14.25" customHeight="1">
      <c r="A31" s="2" t="s">
        <v>25</v>
      </c>
      <c r="H31" s="32">
        <v>39757</v>
      </c>
      <c r="I31" s="34">
        <v>29552</v>
      </c>
      <c r="J31" s="17"/>
    </row>
    <row r="32" spans="1:10" ht="14.25" customHeight="1">
      <c r="A32" s="4"/>
      <c r="B32" s="4"/>
      <c r="C32" s="4"/>
      <c r="D32" s="4"/>
      <c r="E32" s="4"/>
      <c r="F32" s="4"/>
      <c r="G32" s="4"/>
      <c r="H32" s="36">
        <f>SUM(H28:H31)</f>
        <v>344609</v>
      </c>
      <c r="I32" s="29">
        <f>SUM(I28:I31)</f>
        <v>229399</v>
      </c>
      <c r="J32" s="17"/>
    </row>
    <row r="33" spans="1:10" ht="14.25" customHeight="1">
      <c r="A33" s="19" t="s">
        <v>26</v>
      </c>
      <c r="B33" s="20"/>
      <c r="C33" s="20"/>
      <c r="D33" s="20"/>
      <c r="E33" s="20"/>
      <c r="F33" s="20"/>
      <c r="G33" s="20"/>
      <c r="H33" s="21">
        <f>H26-H32</f>
        <v>804065</v>
      </c>
      <c r="I33" s="21">
        <f>I26-I32</f>
        <v>892935</v>
      </c>
      <c r="J33" s="22"/>
    </row>
    <row r="34" spans="1:10" ht="1.5" customHeight="1" hidden="1">
      <c r="A34" s="19"/>
      <c r="B34" s="20"/>
      <c r="C34" s="20"/>
      <c r="D34" s="20"/>
      <c r="E34" s="20"/>
      <c r="F34" s="20"/>
      <c r="G34" s="20"/>
      <c r="H34" s="21"/>
      <c r="I34" s="21"/>
      <c r="J34" s="22"/>
    </row>
    <row r="35" spans="1:9" ht="14.25" customHeight="1" thickBot="1">
      <c r="A35" s="10"/>
      <c r="B35" s="10"/>
      <c r="C35" s="10"/>
      <c r="D35" s="10"/>
      <c r="E35" s="10"/>
      <c r="F35" s="10"/>
      <c r="G35" s="10"/>
      <c r="H35" s="23">
        <f>SUM(H10:H17)+H33</f>
        <v>1561205</v>
      </c>
      <c r="I35" s="23">
        <f>SUM(I10:I17)+I33</f>
        <v>1650816</v>
      </c>
    </row>
    <row r="36" spans="1:9" ht="15.75" customHeight="1">
      <c r="A36" s="5" t="s">
        <v>27</v>
      </c>
      <c r="H36" s="25"/>
      <c r="I36" s="15"/>
    </row>
    <row r="37" spans="1:9" ht="14.25" customHeight="1">
      <c r="A37" s="2" t="s">
        <v>28</v>
      </c>
      <c r="C37" s="2" t="s">
        <v>352</v>
      </c>
      <c r="H37" s="25">
        <f>+SICE!F32</f>
        <v>675515</v>
      </c>
      <c r="I37" s="15">
        <v>1212105</v>
      </c>
    </row>
    <row r="38" spans="1:9" ht="14.25" customHeight="1">
      <c r="A38" s="2" t="s">
        <v>106</v>
      </c>
      <c r="H38" s="25">
        <v>326800</v>
      </c>
      <c r="I38" s="15">
        <v>296411</v>
      </c>
    </row>
    <row r="39" spans="1:9" ht="14.25" customHeight="1">
      <c r="A39" s="2" t="s">
        <v>107</v>
      </c>
      <c r="H39" s="25">
        <f>+SICE!I32-'BS'!H38-'BS'!H44</f>
        <v>9247.84628930816</v>
      </c>
      <c r="I39" s="15">
        <v>1519</v>
      </c>
    </row>
    <row r="40" spans="1:9" ht="14.25" customHeight="1">
      <c r="A40" s="2" t="s">
        <v>165</v>
      </c>
      <c r="H40" s="15">
        <v>0</v>
      </c>
      <c r="I40" s="15">
        <v>52296</v>
      </c>
    </row>
    <row r="41" spans="1:9" ht="14.25" customHeight="1">
      <c r="A41" s="2" t="s">
        <v>93</v>
      </c>
      <c r="H41" s="16">
        <f>+SICE!K32</f>
        <v>396705</v>
      </c>
      <c r="I41" s="16">
        <v>441939</v>
      </c>
    </row>
    <row r="42" spans="1:9" ht="14.25" customHeight="1">
      <c r="A42" s="2" t="s">
        <v>167</v>
      </c>
      <c r="H42" s="25">
        <f>SUM(H37:H41)</f>
        <v>1408267.8462893083</v>
      </c>
      <c r="I42" s="25">
        <f>SUM(I37:I41)</f>
        <v>2004270</v>
      </c>
    </row>
    <row r="43" spans="1:9" ht="14.25" customHeight="1">
      <c r="A43" s="2" t="s">
        <v>108</v>
      </c>
      <c r="H43" s="15">
        <f>+SICE!G32</f>
        <v>-412234</v>
      </c>
      <c r="I43" s="15">
        <v>-373568</v>
      </c>
    </row>
    <row r="44" spans="1:9" ht="14.25" customHeight="1">
      <c r="A44" s="2" t="s">
        <v>152</v>
      </c>
      <c r="H44" s="16">
        <v>0</v>
      </c>
      <c r="I44" s="16">
        <v>-57355</v>
      </c>
    </row>
    <row r="45" spans="1:9" ht="14.25" customHeight="1">
      <c r="A45" s="2" t="s">
        <v>168</v>
      </c>
      <c r="H45" s="25">
        <f>SUM(H42:H44)</f>
        <v>996033.8462893083</v>
      </c>
      <c r="I45" s="25">
        <f>SUM(I42:I44)</f>
        <v>1573347</v>
      </c>
    </row>
    <row r="46" spans="1:9" ht="14.25" customHeight="1">
      <c r="A46" s="2" t="s">
        <v>212</v>
      </c>
      <c r="H46" s="16">
        <v>10213</v>
      </c>
      <c r="I46" s="16">
        <v>7429</v>
      </c>
    </row>
    <row r="47" spans="1:9" ht="14.25" customHeight="1">
      <c r="A47" s="2" t="s">
        <v>170</v>
      </c>
      <c r="H47" s="25">
        <f>+H45+H46</f>
        <v>1006246.8462893083</v>
      </c>
      <c r="I47" s="25">
        <f>+I45+I46</f>
        <v>1580776</v>
      </c>
    </row>
    <row r="48" spans="1:9" ht="14.25" customHeight="1">
      <c r="A48" s="2" t="s">
        <v>175</v>
      </c>
      <c r="H48" s="25">
        <v>2326</v>
      </c>
      <c r="I48" s="25">
        <v>2223</v>
      </c>
    </row>
    <row r="49" spans="1:9" ht="14.25" customHeight="1">
      <c r="A49" s="2" t="s">
        <v>303</v>
      </c>
      <c r="H49" s="25">
        <v>500000</v>
      </c>
      <c r="I49" s="25">
        <v>0</v>
      </c>
    </row>
    <row r="50" spans="1:9" ht="14.25" customHeight="1">
      <c r="A50" s="2" t="s">
        <v>197</v>
      </c>
      <c r="H50" s="15">
        <v>18616</v>
      </c>
      <c r="I50" s="25">
        <v>17059</v>
      </c>
    </row>
    <row r="51" spans="1:9" ht="14.25" customHeight="1">
      <c r="A51" s="2" t="s">
        <v>280</v>
      </c>
      <c r="H51" s="25">
        <v>34016</v>
      </c>
      <c r="I51" s="15">
        <v>32364</v>
      </c>
    </row>
    <row r="52" spans="1:9" ht="14.25" customHeight="1">
      <c r="A52" s="2" t="s">
        <v>169</v>
      </c>
      <c r="H52" s="2"/>
      <c r="I52" s="2"/>
    </row>
    <row r="53" spans="1:9" ht="14.25" customHeight="1">
      <c r="A53" s="2" t="s">
        <v>166</v>
      </c>
      <c r="H53" s="25">
        <v>0</v>
      </c>
      <c r="I53" s="25">
        <v>18394</v>
      </c>
    </row>
    <row r="54" spans="1:13" ht="14.25" customHeight="1" thickBot="1">
      <c r="A54" s="26"/>
      <c r="B54" s="26"/>
      <c r="C54" s="26"/>
      <c r="D54" s="26"/>
      <c r="E54" s="26"/>
      <c r="F54" s="26"/>
      <c r="G54" s="26"/>
      <c r="H54" s="24">
        <f>SUM(H47:H53)</f>
        <v>1561204.8462893083</v>
      </c>
      <c r="I54" s="24">
        <f>SUM(I47:I53)</f>
        <v>1650816</v>
      </c>
      <c r="L54" s="158">
        <f>ROUND(+H54-H35,0)</f>
        <v>0</v>
      </c>
      <c r="M54" s="157">
        <f>+I54-I35</f>
        <v>0</v>
      </c>
    </row>
    <row r="55" spans="1:9" ht="19.5" customHeight="1">
      <c r="A55" s="2" t="s">
        <v>90</v>
      </c>
      <c r="H55" s="101">
        <f>ROUND((+$H$47-H40)/(($H$37/0.5)-97342),2)</f>
        <v>0.8</v>
      </c>
      <c r="I55" s="101">
        <f>(+$I$47-I40)/($I$37-78600)</f>
        <v>1.3484545723221335</v>
      </c>
    </row>
    <row r="56" spans="8:9" ht="2.25" customHeight="1">
      <c r="H56" s="101"/>
      <c r="I56" s="136"/>
    </row>
    <row r="57" spans="8:9" ht="4.5" customHeight="1">
      <c r="H57" s="101"/>
      <c r="I57" s="136"/>
    </row>
    <row r="58" spans="1:9" ht="14.25" customHeight="1">
      <c r="A58" s="2" t="s">
        <v>184</v>
      </c>
      <c r="H58" s="101"/>
      <c r="I58" s="136"/>
    </row>
    <row r="59" spans="1:9" ht="14.25" customHeight="1">
      <c r="A59" s="177" t="s">
        <v>453</v>
      </c>
      <c r="H59" s="101"/>
      <c r="I59" s="136"/>
    </row>
    <row r="60" spans="8:9" ht="9" customHeight="1">
      <c r="H60" s="101"/>
      <c r="I60" s="136"/>
    </row>
    <row r="61" spans="1:9" ht="13.5" customHeight="1">
      <c r="A61" s="5" t="s">
        <v>219</v>
      </c>
      <c r="H61" s="25"/>
      <c r="I61" s="15"/>
    </row>
    <row r="62" spans="8:9" ht="15">
      <c r="H62" s="103">
        <f>ROUND(+H54-H35,0)</f>
        <v>0</v>
      </c>
      <c r="I62" s="103">
        <f>+I54-I35</f>
        <v>0</v>
      </c>
    </row>
  </sheetData>
  <mergeCells count="1">
    <mergeCell ref="H6:I6"/>
  </mergeCells>
  <printOptions/>
  <pageMargins left="0.62" right="0.21" top="0.64" bottom="0" header="0.31" footer="0.5"/>
  <pageSetup horizontalDpi="600" verticalDpi="600" orientation="portrait" paperSize="9" scale="92" r:id="rId1"/>
  <headerFooter alignWithMargins="0">
    <oddHeader>&amp;R&amp;"Arial,Bold"Berjaya Sports Toto Berhad&amp;U
&amp;9&amp;U(&amp;"Arial,Regular"Company No. 9109-K)
Quarterly Report 31-1-2006</oddHeader>
    <oddFooter>&amp;R&amp;"Arial,Bold"   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N90"/>
  <sheetViews>
    <sheetView showGridLines="0" workbookViewId="0" topLeftCell="A11">
      <selection activeCell="I27" sqref="I27"/>
    </sheetView>
  </sheetViews>
  <sheetFormatPr defaultColWidth="9.140625" defaultRowHeight="12.75"/>
  <cols>
    <col min="1" max="1" width="7.140625" style="2" customWidth="1"/>
    <col min="2" max="3" width="7.8515625" style="2" customWidth="1"/>
    <col min="4" max="4" width="6.421875" style="2" customWidth="1"/>
    <col min="5" max="5" width="2.7109375" style="2" customWidth="1"/>
    <col min="6" max="6" width="10.140625" style="2" customWidth="1"/>
    <col min="7" max="7" width="9.8515625" style="27" customWidth="1"/>
    <col min="8" max="8" width="13.00390625" style="27" customWidth="1"/>
    <col min="9" max="9" width="10.8515625" style="2" customWidth="1"/>
    <col min="10" max="10" width="1.1484375" style="2" customWidth="1"/>
    <col min="11" max="11" width="10.8515625" style="2" customWidth="1"/>
    <col min="12" max="12" width="10.140625" style="2" customWidth="1"/>
    <col min="13" max="16384" width="9.140625" style="2" customWidth="1"/>
  </cols>
  <sheetData>
    <row r="3" ht="3.75" customHeight="1"/>
    <row r="4" ht="6" customHeight="1"/>
    <row r="5" ht="15">
      <c r="A5" s="5" t="str">
        <f>PL!A5</f>
        <v>UNAUDITED QUARTERLY FINANCIAL REPORT FOR THE PERIOD ENDED 31 JANUARY 2006</v>
      </c>
    </row>
    <row r="6" ht="5.25" customHeight="1"/>
    <row r="7" ht="15">
      <c r="A7" s="5" t="s">
        <v>89</v>
      </c>
    </row>
    <row r="8" ht="15">
      <c r="A8" s="5"/>
    </row>
    <row r="9" ht="15">
      <c r="A9" s="5"/>
    </row>
    <row r="10" spans="1:11" ht="15">
      <c r="A10" s="5"/>
      <c r="G10" s="94"/>
      <c r="H10" s="2"/>
      <c r="I10" s="197" t="s">
        <v>186</v>
      </c>
      <c r="J10" s="197"/>
      <c r="K10" s="197"/>
    </row>
    <row r="11" spans="6:12" ht="15">
      <c r="F11" s="92" t="s">
        <v>77</v>
      </c>
      <c r="G11" s="92" t="s">
        <v>109</v>
      </c>
      <c r="H11" s="137" t="s">
        <v>173</v>
      </c>
      <c r="I11" s="92" t="s">
        <v>29</v>
      </c>
      <c r="J11" s="92"/>
      <c r="K11" s="93"/>
      <c r="L11" s="92"/>
    </row>
    <row r="12" spans="6:12" ht="15">
      <c r="F12" s="92" t="s">
        <v>237</v>
      </c>
      <c r="G12" s="92" t="s">
        <v>236</v>
      </c>
      <c r="H12" s="137" t="s">
        <v>172</v>
      </c>
      <c r="I12" s="92" t="s">
        <v>32</v>
      </c>
      <c r="J12" s="92"/>
      <c r="K12" s="92" t="s">
        <v>30</v>
      </c>
      <c r="L12" s="92" t="s">
        <v>31</v>
      </c>
    </row>
    <row r="13" spans="6:12" ht="15">
      <c r="F13" s="92" t="s">
        <v>13</v>
      </c>
      <c r="G13" s="92" t="s">
        <v>13</v>
      </c>
      <c r="H13" s="92" t="s">
        <v>13</v>
      </c>
      <c r="I13" s="92" t="s">
        <v>13</v>
      </c>
      <c r="J13" s="92"/>
      <c r="K13" s="92" t="s">
        <v>13</v>
      </c>
      <c r="L13" s="92" t="s">
        <v>13</v>
      </c>
    </row>
    <row r="14" spans="1:6" ht="15">
      <c r="A14" s="153"/>
      <c r="F14" s="27"/>
    </row>
    <row r="15" spans="1:12" ht="15">
      <c r="A15" s="147" t="s">
        <v>234</v>
      </c>
      <c r="B15" s="124"/>
      <c r="C15" s="124"/>
      <c r="F15" s="75">
        <v>1212105</v>
      </c>
      <c r="G15" s="75">
        <v>-373568</v>
      </c>
      <c r="H15" s="75">
        <v>52296</v>
      </c>
      <c r="I15" s="75">
        <f>296411+1519-57355</f>
        <v>240575</v>
      </c>
      <c r="J15" s="140"/>
      <c r="K15" s="75">
        <v>441939</v>
      </c>
      <c r="L15" s="75">
        <f>SUM(F15:K15)</f>
        <v>1573347</v>
      </c>
    </row>
    <row r="16" spans="1:12" ht="15">
      <c r="A16" s="127" t="s">
        <v>150</v>
      </c>
      <c r="B16" s="124"/>
      <c r="C16" s="124"/>
      <c r="F16" s="149">
        <f>ROUND(130675+(727*0.5)+(1138/1.2)+(12/1.06*0.5),0)+1+(1707*0.5)+4855*0.5</f>
        <v>135274</v>
      </c>
      <c r="G16" s="73">
        <v>0</v>
      </c>
      <c r="H16" s="52">
        <v>0</v>
      </c>
      <c r="I16" s="154">
        <f>(130675*0.2)+(-(1138/1.2)+1138)+(727*0.56)+((-(12/1.06)+12)+(12/1.06)*0.5)+((1707+4855)*0.56)+1</f>
        <v>30413.846289308178</v>
      </c>
      <c r="J16" s="65"/>
      <c r="K16" s="39">
        <v>0</v>
      </c>
      <c r="L16" s="39">
        <f>SUM(F16:K16)</f>
        <v>165687.8462893082</v>
      </c>
    </row>
    <row r="17" spans="1:12" ht="15">
      <c r="A17" s="127" t="s">
        <v>305</v>
      </c>
      <c r="B17" s="124"/>
      <c r="C17" s="124"/>
      <c r="F17" s="39">
        <v>0</v>
      </c>
      <c r="G17" s="73">
        <v>0</v>
      </c>
      <c r="H17" s="52">
        <v>0</v>
      </c>
      <c r="I17" s="65">
        <f>-25-1</f>
        <v>-26</v>
      </c>
      <c r="J17" s="65"/>
      <c r="K17" s="39">
        <v>0</v>
      </c>
      <c r="L17" s="39">
        <f>SUM(F17:K17)</f>
        <v>-26</v>
      </c>
    </row>
    <row r="18" spans="1:12" ht="15">
      <c r="A18" s="127" t="s">
        <v>296</v>
      </c>
      <c r="B18" s="124"/>
      <c r="C18" s="124"/>
      <c r="F18" s="75">
        <v>-671864</v>
      </c>
      <c r="G18" s="73">
        <f>85000*0.5</f>
        <v>42500</v>
      </c>
      <c r="H18" s="52">
        <v>0</v>
      </c>
      <c r="I18" s="65">
        <v>0</v>
      </c>
      <c r="J18" s="65"/>
      <c r="K18" s="39">
        <v>0</v>
      </c>
      <c r="L18" s="39">
        <f>SUM(F18:K18)</f>
        <v>-629364</v>
      </c>
    </row>
    <row r="19" spans="1:12" ht="15">
      <c r="A19" s="127" t="s">
        <v>174</v>
      </c>
      <c r="B19" s="124"/>
      <c r="C19" s="124"/>
      <c r="F19" s="75">
        <v>0</v>
      </c>
      <c r="G19" s="73">
        <v>0</v>
      </c>
      <c r="H19" s="52">
        <f>-49124-3172</f>
        <v>-52296</v>
      </c>
      <c r="I19" s="65">
        <v>0</v>
      </c>
      <c r="J19" s="65"/>
      <c r="K19" s="39">
        <v>0</v>
      </c>
      <c r="L19" s="39">
        <f>SUM(F19:K19)</f>
        <v>-52296</v>
      </c>
    </row>
    <row r="20" spans="1:8" ht="15">
      <c r="A20" s="174" t="s">
        <v>279</v>
      </c>
      <c r="B20" s="124"/>
      <c r="C20" s="124"/>
      <c r="G20" s="2"/>
      <c r="H20" s="2"/>
    </row>
    <row r="21" spans="1:12" ht="15">
      <c r="A21" s="127" t="s">
        <v>276</v>
      </c>
      <c r="C21" s="124"/>
      <c r="F21" s="75">
        <v>0</v>
      </c>
      <c r="G21" s="73">
        <v>0</v>
      </c>
      <c r="H21" s="52">
        <v>0</v>
      </c>
      <c r="I21" s="65">
        <v>57355</v>
      </c>
      <c r="J21" s="65"/>
      <c r="K21" s="39">
        <v>0</v>
      </c>
      <c r="L21" s="39">
        <f>SUM(F21:K21)</f>
        <v>57355</v>
      </c>
    </row>
    <row r="22" spans="1:12" ht="15">
      <c r="A22" s="4" t="s">
        <v>151</v>
      </c>
      <c r="B22" s="4"/>
      <c r="C22" s="4"/>
      <c r="D22" s="4"/>
      <c r="E22" s="4"/>
      <c r="F22" s="75">
        <v>0</v>
      </c>
      <c r="G22" s="75">
        <v>-81166</v>
      </c>
      <c r="H22" s="52">
        <v>0</v>
      </c>
      <c r="I22" s="65">
        <v>0</v>
      </c>
      <c r="J22" s="65"/>
      <c r="K22" s="65">
        <v>0</v>
      </c>
      <c r="L22" s="39">
        <f>SUM(F22:K22)</f>
        <v>-81166</v>
      </c>
    </row>
    <row r="23" spans="1:12" ht="15">
      <c r="A23" s="4" t="s">
        <v>142</v>
      </c>
      <c r="B23" s="4"/>
      <c r="C23" s="4"/>
      <c r="D23" s="4"/>
      <c r="E23" s="4"/>
      <c r="F23" s="75"/>
      <c r="G23" s="75"/>
      <c r="H23" s="52"/>
      <c r="I23" s="65"/>
      <c r="J23" s="65"/>
      <c r="K23" s="65"/>
      <c r="L23" s="39"/>
    </row>
    <row r="24" spans="1:12" ht="15">
      <c r="A24" s="4" t="s">
        <v>277</v>
      </c>
      <c r="C24" s="4"/>
      <c r="D24" s="4"/>
      <c r="E24" s="4"/>
      <c r="F24" s="75">
        <v>0</v>
      </c>
      <c r="G24" s="75">
        <v>0</v>
      </c>
      <c r="H24" s="52">
        <v>0</v>
      </c>
      <c r="I24" s="154">
        <f>7992+53+1-316</f>
        <v>7730</v>
      </c>
      <c r="J24" s="65"/>
      <c r="K24" s="65">
        <v>0</v>
      </c>
      <c r="L24" s="39">
        <f>SUM(F24:K24)</f>
        <v>7730</v>
      </c>
    </row>
    <row r="25" spans="1:12" ht="15">
      <c r="A25" s="4" t="s">
        <v>311</v>
      </c>
      <c r="C25" s="4"/>
      <c r="D25" s="4"/>
      <c r="E25" s="4"/>
      <c r="F25" s="75"/>
      <c r="G25" s="75"/>
      <c r="H25" s="52"/>
      <c r="I25" s="65"/>
      <c r="J25" s="65"/>
      <c r="K25" s="65"/>
      <c r="L25" s="39"/>
    </row>
    <row r="26" spans="1:12" ht="15">
      <c r="A26" s="4" t="s">
        <v>312</v>
      </c>
      <c r="C26" s="4"/>
      <c r="D26" s="4"/>
      <c r="E26" s="4"/>
      <c r="F26" s="75"/>
      <c r="G26" s="75"/>
      <c r="H26" s="52"/>
      <c r="I26" s="65"/>
      <c r="J26" s="65"/>
      <c r="K26" s="65"/>
      <c r="L26" s="39"/>
    </row>
    <row r="27" spans="1:12" ht="15">
      <c r="A27" s="4" t="s">
        <v>307</v>
      </c>
      <c r="C27" s="4"/>
      <c r="D27" s="4"/>
      <c r="E27" s="4"/>
      <c r="F27" s="75"/>
      <c r="G27" s="75"/>
      <c r="H27" s="52"/>
      <c r="I27" s="65"/>
      <c r="J27" s="65"/>
      <c r="K27" s="65"/>
      <c r="L27" s="39"/>
    </row>
    <row r="28" spans="1:12" ht="15">
      <c r="A28" s="4" t="s">
        <v>306</v>
      </c>
      <c r="C28" s="4"/>
      <c r="D28" s="4"/>
      <c r="E28" s="4"/>
      <c r="F28" s="75">
        <v>0</v>
      </c>
      <c r="G28" s="75">
        <v>0</v>
      </c>
      <c r="H28" s="52">
        <v>0</v>
      </c>
      <c r="I28" s="65">
        <v>0</v>
      </c>
      <c r="J28" s="65"/>
      <c r="K28" s="154">
        <f>-34892-323</f>
        <v>-35215</v>
      </c>
      <c r="L28" s="39">
        <f>SUM(F28:K28)</f>
        <v>-35215</v>
      </c>
    </row>
    <row r="29" spans="1:12" ht="15">
      <c r="A29" s="4" t="s">
        <v>191</v>
      </c>
      <c r="B29" s="4"/>
      <c r="C29" s="4"/>
      <c r="D29" s="4"/>
      <c r="E29" s="4"/>
      <c r="F29" s="75">
        <v>0</v>
      </c>
      <c r="G29" s="75">
        <v>0</v>
      </c>
      <c r="H29" s="52">
        <v>0</v>
      </c>
      <c r="I29" s="65">
        <v>0</v>
      </c>
      <c r="J29" s="65"/>
      <c r="K29" s="65">
        <f>-89774-113286-113095</f>
        <v>-316155</v>
      </c>
      <c r="L29" s="39">
        <f>SUM(F29:K29)</f>
        <v>-316155</v>
      </c>
    </row>
    <row r="30" spans="1:12" ht="15">
      <c r="A30" s="6" t="s">
        <v>235</v>
      </c>
      <c r="B30" s="6"/>
      <c r="C30" s="6"/>
      <c r="D30" s="6"/>
      <c r="E30" s="6"/>
      <c r="F30" s="90">
        <v>0</v>
      </c>
      <c r="G30" s="90">
        <v>0</v>
      </c>
      <c r="H30" s="135">
        <v>0</v>
      </c>
      <c r="I30" s="44">
        <v>0</v>
      </c>
      <c r="J30" s="44"/>
      <c r="K30" s="166">
        <f>+PL!H29</f>
        <v>306136</v>
      </c>
      <c r="L30" s="44">
        <f>SUM(I30:K30)</f>
        <v>306136</v>
      </c>
    </row>
    <row r="31" spans="6:12" ht="3.75" customHeight="1">
      <c r="F31" s="27"/>
      <c r="H31" s="52"/>
      <c r="I31" s="39"/>
      <c r="J31" s="39"/>
      <c r="K31" s="39"/>
      <c r="L31" s="39"/>
    </row>
    <row r="32" spans="1:12" ht="15">
      <c r="A32" s="164" t="s">
        <v>354</v>
      </c>
      <c r="C32" s="124"/>
      <c r="F32" s="39">
        <f aca="true" t="shared" si="0" ref="F32:L32">SUM(F15:F30)</f>
        <v>675515</v>
      </c>
      <c r="G32" s="39">
        <f t="shared" si="0"/>
        <v>-412234</v>
      </c>
      <c r="H32" s="39">
        <f t="shared" si="0"/>
        <v>0</v>
      </c>
      <c r="I32" s="39">
        <f t="shared" si="0"/>
        <v>336047.84628930816</v>
      </c>
      <c r="J32" s="52"/>
      <c r="K32" s="149">
        <f t="shared" si="0"/>
        <v>396705</v>
      </c>
      <c r="L32" s="39">
        <f t="shared" si="0"/>
        <v>996033.8462893083</v>
      </c>
    </row>
    <row r="33" spans="1:12" ht="4.5" customHeight="1">
      <c r="A33" s="6"/>
      <c r="B33" s="6"/>
      <c r="C33" s="6"/>
      <c r="D33" s="6"/>
      <c r="E33" s="6"/>
      <c r="F33" s="89"/>
      <c r="G33" s="89"/>
      <c r="H33" s="135"/>
      <c r="I33" s="44"/>
      <c r="J33" s="44"/>
      <c r="K33" s="44"/>
      <c r="L33" s="44"/>
    </row>
    <row r="34" spans="6:12" ht="15">
      <c r="F34" s="27"/>
      <c r="H34" s="52"/>
      <c r="I34" s="39"/>
      <c r="J34" s="39"/>
      <c r="K34" s="39"/>
      <c r="L34" s="39"/>
    </row>
    <row r="35" spans="1:12" ht="4.5" customHeight="1">
      <c r="A35" s="4"/>
      <c r="B35" s="4"/>
      <c r="C35" s="4"/>
      <c r="D35" s="4"/>
      <c r="E35" s="4"/>
      <c r="F35" s="4"/>
      <c r="G35" s="59"/>
      <c r="H35" s="52"/>
      <c r="I35" s="65"/>
      <c r="J35" s="65"/>
      <c r="K35" s="65"/>
      <c r="L35" s="65"/>
    </row>
    <row r="36" spans="1:12" ht="16.5" customHeight="1">
      <c r="A36" s="195"/>
      <c r="B36" s="195"/>
      <c r="C36" s="4"/>
      <c r="D36" s="4"/>
      <c r="E36" s="4"/>
      <c r="F36" s="4"/>
      <c r="G36" s="59"/>
      <c r="H36" s="52"/>
      <c r="I36" s="65"/>
      <c r="J36" s="65"/>
      <c r="K36" s="65"/>
      <c r="L36" s="65"/>
    </row>
    <row r="37" spans="1:12" ht="15" customHeight="1">
      <c r="A37" s="124" t="s">
        <v>213</v>
      </c>
      <c r="B37" s="124"/>
      <c r="C37" s="124"/>
      <c r="D37" s="4"/>
      <c r="E37" s="4"/>
      <c r="F37" s="65">
        <v>1037588</v>
      </c>
      <c r="G37" s="140">
        <v>-215258</v>
      </c>
      <c r="H37" s="52">
        <v>133134</v>
      </c>
      <c r="I37" s="65">
        <v>203597</v>
      </c>
      <c r="J37" s="65"/>
      <c r="K37" s="65">
        <v>367374</v>
      </c>
      <c r="L37" s="65">
        <f>SUM(F37:K37)</f>
        <v>1526435</v>
      </c>
    </row>
    <row r="38" spans="1:12" ht="15">
      <c r="A38" s="127" t="s">
        <v>150</v>
      </c>
      <c r="B38" s="124"/>
      <c r="C38" s="124"/>
      <c r="F38" s="39">
        <v>2561</v>
      </c>
      <c r="G38" s="39">
        <v>0</v>
      </c>
      <c r="H38" s="39">
        <v>0</v>
      </c>
      <c r="I38" s="39">
        <v>513</v>
      </c>
      <c r="J38" s="39"/>
      <c r="K38" s="72">
        <v>0</v>
      </c>
      <c r="L38" s="39">
        <f>SUM(F38:K38)</f>
        <v>3074</v>
      </c>
    </row>
    <row r="39" spans="1:12" ht="15">
      <c r="A39" s="4" t="s">
        <v>174</v>
      </c>
      <c r="B39" s="4"/>
      <c r="C39" s="4"/>
      <c r="F39" s="39">
        <v>0</v>
      </c>
      <c r="G39" s="39">
        <v>0</v>
      </c>
      <c r="H39" s="39">
        <v>-1188</v>
      </c>
      <c r="I39" s="39">
        <v>0</v>
      </c>
      <c r="J39" s="39"/>
      <c r="K39" s="72">
        <v>0</v>
      </c>
      <c r="L39" s="39">
        <f>SUM(F39:K39)</f>
        <v>-1188</v>
      </c>
    </row>
    <row r="40" spans="1:12" ht="15">
      <c r="A40" s="4" t="s">
        <v>151</v>
      </c>
      <c r="B40" s="4"/>
      <c r="C40" s="4"/>
      <c r="F40" s="170">
        <v>0</v>
      </c>
      <c r="G40" s="39">
        <v>-135937</v>
      </c>
      <c r="H40" s="39">
        <v>0</v>
      </c>
      <c r="I40" s="39">
        <v>0</v>
      </c>
      <c r="J40" s="39"/>
      <c r="K40" s="72">
        <v>0</v>
      </c>
      <c r="L40" s="39">
        <f>SUM(F40:K40)</f>
        <v>-135937</v>
      </c>
    </row>
    <row r="41" spans="1:12" ht="15">
      <c r="A41" s="4" t="s">
        <v>142</v>
      </c>
      <c r="B41" s="4"/>
      <c r="C41" s="4"/>
      <c r="F41" s="39"/>
      <c r="G41" s="39"/>
      <c r="H41" s="39"/>
      <c r="I41" s="39"/>
      <c r="J41" s="39"/>
      <c r="K41" s="72"/>
      <c r="L41" s="39"/>
    </row>
    <row r="42" spans="1:12" ht="15">
      <c r="A42" s="4" t="s">
        <v>277</v>
      </c>
      <c r="C42" s="4"/>
      <c r="F42" s="39">
        <v>0</v>
      </c>
      <c r="G42" s="39">
        <v>0</v>
      </c>
      <c r="H42" s="39">
        <v>0</v>
      </c>
      <c r="I42" s="39">
        <v>1327</v>
      </c>
      <c r="J42" s="39"/>
      <c r="K42" s="72">
        <v>0</v>
      </c>
      <c r="L42" s="39">
        <f>SUM(F42:K42)</f>
        <v>1327</v>
      </c>
    </row>
    <row r="43" spans="1:12" ht="15">
      <c r="A43" s="4" t="s">
        <v>11</v>
      </c>
      <c r="B43" s="4"/>
      <c r="C43" s="4"/>
      <c r="F43" s="39">
        <v>0</v>
      </c>
      <c r="G43" s="39">
        <v>0</v>
      </c>
      <c r="H43" s="39">
        <v>0</v>
      </c>
      <c r="I43" s="39">
        <v>0</v>
      </c>
      <c r="J43" s="39"/>
      <c r="K43" s="72">
        <v>-126247</v>
      </c>
      <c r="L43" s="39">
        <f>SUM(F43:K43)</f>
        <v>-126247</v>
      </c>
    </row>
    <row r="44" spans="1:12" ht="15">
      <c r="A44" s="6" t="s">
        <v>235</v>
      </c>
      <c r="B44" s="6"/>
      <c r="C44" s="6"/>
      <c r="D44" s="6"/>
      <c r="E44" s="6"/>
      <c r="F44" s="44">
        <v>0</v>
      </c>
      <c r="G44" s="44">
        <v>0</v>
      </c>
      <c r="H44" s="44">
        <v>0</v>
      </c>
      <c r="I44" s="44">
        <v>0</v>
      </c>
      <c r="J44" s="44"/>
      <c r="K44" s="148">
        <f>+PL!I29</f>
        <v>255711</v>
      </c>
      <c r="L44" s="44">
        <f>SUM(F44:K44)</f>
        <v>255711</v>
      </c>
    </row>
    <row r="45" spans="6:12" ht="4.5" customHeight="1">
      <c r="F45" s="39"/>
      <c r="G45" s="39"/>
      <c r="H45" s="39"/>
      <c r="I45" s="39"/>
      <c r="J45" s="39"/>
      <c r="K45" s="72"/>
      <c r="L45" s="39"/>
    </row>
    <row r="46" spans="1:12" ht="15">
      <c r="A46" s="164" t="s">
        <v>353</v>
      </c>
      <c r="C46"/>
      <c r="F46" s="39">
        <f>SUM(F37:F44)</f>
        <v>1040149</v>
      </c>
      <c r="G46" s="39">
        <f aca="true" t="shared" si="1" ref="G46:L46">SUM(G37:G44)</f>
        <v>-351195</v>
      </c>
      <c r="H46" s="39">
        <f t="shared" si="1"/>
        <v>131946</v>
      </c>
      <c r="I46" s="39">
        <f t="shared" si="1"/>
        <v>205437</v>
      </c>
      <c r="J46" s="39">
        <f t="shared" si="1"/>
        <v>0</v>
      </c>
      <c r="K46" s="39">
        <f t="shared" si="1"/>
        <v>496838</v>
      </c>
      <c r="L46" s="39">
        <f t="shared" si="1"/>
        <v>1523175</v>
      </c>
    </row>
    <row r="47" spans="1:12" ht="5.25" customHeight="1">
      <c r="A47" s="6"/>
      <c r="B47" s="6"/>
      <c r="C47" s="6"/>
      <c r="D47" s="6"/>
      <c r="E47" s="6"/>
      <c r="F47" s="44"/>
      <c r="G47" s="44"/>
      <c r="H47" s="44"/>
      <c r="I47" s="44"/>
      <c r="J47" s="44"/>
      <c r="K47" s="125"/>
      <c r="L47" s="44"/>
    </row>
    <row r="48" spans="6:12" ht="15">
      <c r="F48" s="39"/>
      <c r="G48" s="39"/>
      <c r="H48" s="39"/>
      <c r="I48" s="39"/>
      <c r="J48" s="39"/>
      <c r="K48" s="72"/>
      <c r="L48" s="39"/>
    </row>
    <row r="49" spans="1:12" ht="15">
      <c r="A49" s="196"/>
      <c r="B49" s="195"/>
      <c r="F49" s="39"/>
      <c r="G49" s="39"/>
      <c r="H49" s="39"/>
      <c r="I49" s="39"/>
      <c r="J49" s="39"/>
      <c r="K49" s="72"/>
      <c r="L49" s="39"/>
    </row>
    <row r="50" spans="6:12" ht="15">
      <c r="F50" s="39"/>
      <c r="G50" s="39"/>
      <c r="H50" s="39"/>
      <c r="I50" s="39"/>
      <c r="J50" s="39"/>
      <c r="K50" s="72"/>
      <c r="L50" s="39"/>
    </row>
    <row r="51" spans="1:12" ht="15">
      <c r="A51" s="68"/>
      <c r="F51" s="39"/>
      <c r="G51" s="39"/>
      <c r="H51" s="39"/>
      <c r="I51" s="39"/>
      <c r="J51" s="39"/>
      <c r="K51" s="72"/>
      <c r="L51" s="39"/>
    </row>
    <row r="52" spans="6:12" ht="15">
      <c r="F52" s="39"/>
      <c r="G52" s="39"/>
      <c r="H52" s="39"/>
      <c r="I52" s="39"/>
      <c r="J52" s="39"/>
      <c r="K52" s="72"/>
      <c r="L52" s="39"/>
    </row>
    <row r="53" spans="6:12" ht="15">
      <c r="F53" s="39"/>
      <c r="G53" s="39"/>
      <c r="H53" s="39"/>
      <c r="I53" s="39"/>
      <c r="J53" s="39"/>
      <c r="K53" s="72"/>
      <c r="L53" s="39"/>
    </row>
    <row r="54" spans="6:12" ht="15">
      <c r="F54" s="39"/>
      <c r="G54" s="39"/>
      <c r="H54" s="39"/>
      <c r="I54" s="39"/>
      <c r="J54" s="39"/>
      <c r="K54" s="72"/>
      <c r="L54" s="39"/>
    </row>
    <row r="55" spans="6:12" ht="15">
      <c r="F55" s="39"/>
      <c r="G55" s="52"/>
      <c r="H55" s="52"/>
      <c r="I55" s="39"/>
      <c r="J55" s="39"/>
      <c r="K55" s="39"/>
      <c r="L55" s="39"/>
    </row>
    <row r="56" spans="6:12" ht="15.75" customHeight="1">
      <c r="F56" s="39"/>
      <c r="G56" s="52"/>
      <c r="H56" s="52"/>
      <c r="I56" s="39"/>
      <c r="J56" s="39"/>
      <c r="K56" s="39"/>
      <c r="L56" s="39"/>
    </row>
    <row r="57" spans="1:12" ht="15">
      <c r="A57" s="5" t="s">
        <v>219</v>
      </c>
      <c r="F57" s="39"/>
      <c r="G57" s="52"/>
      <c r="H57" s="52"/>
      <c r="I57" s="39"/>
      <c r="J57" s="39"/>
      <c r="K57" s="39"/>
      <c r="L57" s="39"/>
    </row>
    <row r="58" spans="6:12" ht="11.25" customHeight="1">
      <c r="F58" s="39"/>
      <c r="G58" s="52"/>
      <c r="H58" s="52"/>
      <c r="I58" s="39"/>
      <c r="J58" s="39"/>
      <c r="K58" s="39"/>
      <c r="L58" s="39"/>
    </row>
    <row r="59" spans="6:12" ht="15">
      <c r="F59" s="39"/>
      <c r="G59" s="52"/>
      <c r="H59" s="52"/>
      <c r="I59" s="39"/>
      <c r="J59" s="39"/>
      <c r="K59" s="39"/>
      <c r="L59" s="39"/>
    </row>
    <row r="60" spans="6:14" ht="15">
      <c r="F60" s="39"/>
      <c r="G60" s="52"/>
      <c r="H60" s="52"/>
      <c r="I60" s="39"/>
      <c r="J60" s="39"/>
      <c r="K60" s="39"/>
      <c r="L60" s="52"/>
      <c r="M60" s="27"/>
      <c r="N60" s="27" t="s">
        <v>36</v>
      </c>
    </row>
    <row r="61" spans="6:12" ht="15">
      <c r="F61" s="39"/>
      <c r="G61" s="52"/>
      <c r="H61" s="52"/>
      <c r="I61" s="39"/>
      <c r="J61" s="39"/>
      <c r="K61" s="39"/>
      <c r="L61" s="39"/>
    </row>
    <row r="62" spans="6:12" ht="15">
      <c r="F62" s="39"/>
      <c r="G62" s="52"/>
      <c r="H62" s="52"/>
      <c r="I62" s="39"/>
      <c r="J62" s="39"/>
      <c r="K62" s="39"/>
      <c r="L62" s="39"/>
    </row>
    <row r="63" spans="6:12" ht="15">
      <c r="F63" s="39"/>
      <c r="G63" s="52"/>
      <c r="H63" s="52"/>
      <c r="I63" s="39"/>
      <c r="J63" s="39"/>
      <c r="K63" s="39"/>
      <c r="L63" s="39"/>
    </row>
    <row r="64" spans="6:12" ht="15">
      <c r="F64" s="39"/>
      <c r="G64" s="52"/>
      <c r="H64" s="52"/>
      <c r="I64" s="39"/>
      <c r="J64" s="39"/>
      <c r="K64" s="39"/>
      <c r="L64" s="39"/>
    </row>
    <row r="65" spans="6:12" ht="15">
      <c r="F65" s="39"/>
      <c r="G65" s="52"/>
      <c r="H65" s="52"/>
      <c r="I65" s="39"/>
      <c r="J65" s="39"/>
      <c r="K65" s="39"/>
      <c r="L65" s="39"/>
    </row>
    <row r="66" spans="9:12" ht="15">
      <c r="I66" s="39"/>
      <c r="J66" s="39"/>
      <c r="K66" s="39"/>
      <c r="L66" s="39"/>
    </row>
    <row r="67" spans="9:12" ht="15">
      <c r="I67" s="39"/>
      <c r="J67" s="39"/>
      <c r="K67" s="39"/>
      <c r="L67" s="39"/>
    </row>
    <row r="68" spans="9:12" ht="15">
      <c r="I68" s="39"/>
      <c r="J68" s="39"/>
      <c r="K68" s="39"/>
      <c r="L68" s="39"/>
    </row>
    <row r="69" spans="9:12" ht="15">
      <c r="I69" s="39"/>
      <c r="J69" s="39"/>
      <c r="K69" s="39"/>
      <c r="L69" s="39"/>
    </row>
    <row r="70" spans="9:12" ht="15">
      <c r="I70" s="39"/>
      <c r="J70" s="39"/>
      <c r="K70" s="39"/>
      <c r="L70" s="39"/>
    </row>
    <row r="71" spans="9:12" ht="15">
      <c r="I71" s="39"/>
      <c r="J71" s="39"/>
      <c r="K71" s="39"/>
      <c r="L71" s="39"/>
    </row>
    <row r="72" spans="9:12" ht="15">
      <c r="I72" s="39"/>
      <c r="J72" s="39"/>
      <c r="K72" s="39"/>
      <c r="L72" s="39"/>
    </row>
    <row r="73" spans="9:12" ht="15">
      <c r="I73" s="39"/>
      <c r="J73" s="39"/>
      <c r="K73" s="39"/>
      <c r="L73" s="39"/>
    </row>
    <row r="74" spans="9:12" ht="15">
      <c r="I74" s="39"/>
      <c r="J74" s="39"/>
      <c r="K74" s="39"/>
      <c r="L74" s="39"/>
    </row>
    <row r="75" spans="9:12" ht="15">
      <c r="I75" s="39"/>
      <c r="J75" s="39"/>
      <c r="K75" s="39"/>
      <c r="L75" s="39"/>
    </row>
    <row r="76" spans="9:12" ht="15">
      <c r="I76" s="39"/>
      <c r="J76" s="39"/>
      <c r="K76" s="39"/>
      <c r="L76" s="39"/>
    </row>
    <row r="77" spans="9:12" ht="15">
      <c r="I77" s="39"/>
      <c r="J77" s="39"/>
      <c r="K77" s="39"/>
      <c r="L77" s="39"/>
    </row>
    <row r="78" spans="9:12" ht="15">
      <c r="I78" s="39"/>
      <c r="J78" s="39"/>
      <c r="K78" s="39"/>
      <c r="L78" s="39"/>
    </row>
    <row r="79" spans="9:12" ht="15">
      <c r="I79" s="39"/>
      <c r="J79" s="39"/>
      <c r="K79" s="39"/>
      <c r="L79" s="39"/>
    </row>
    <row r="80" spans="9:12" ht="15">
      <c r="I80" s="39"/>
      <c r="J80" s="39"/>
      <c r="K80" s="39"/>
      <c r="L80" s="39"/>
    </row>
    <row r="81" spans="9:12" ht="15">
      <c r="I81" s="39"/>
      <c r="J81" s="39"/>
      <c r="K81" s="39"/>
      <c r="L81" s="39"/>
    </row>
    <row r="82" spans="9:12" ht="15">
      <c r="I82" s="39"/>
      <c r="J82" s="39"/>
      <c r="K82" s="39"/>
      <c r="L82" s="39"/>
    </row>
    <row r="83" spans="9:12" ht="15">
      <c r="I83" s="39"/>
      <c r="J83" s="39"/>
      <c r="K83" s="39"/>
      <c r="L83" s="39"/>
    </row>
    <row r="84" spans="9:12" ht="15">
      <c r="I84" s="39"/>
      <c r="J84" s="39"/>
      <c r="K84" s="39"/>
      <c r="L84" s="39"/>
    </row>
    <row r="85" spans="9:12" ht="15">
      <c r="I85" s="39"/>
      <c r="J85" s="39"/>
      <c r="K85" s="39"/>
      <c r="L85" s="39"/>
    </row>
    <row r="86" spans="9:12" ht="15">
      <c r="I86" s="39"/>
      <c r="J86" s="39"/>
      <c r="K86" s="39"/>
      <c r="L86" s="39"/>
    </row>
    <row r="87" spans="9:12" ht="15">
      <c r="I87" s="39"/>
      <c r="J87" s="39"/>
      <c r="K87" s="39"/>
      <c r="L87" s="39"/>
    </row>
    <row r="88" spans="9:12" ht="15">
      <c r="I88" s="39"/>
      <c r="J88" s="39"/>
      <c r="K88" s="39"/>
      <c r="L88" s="39"/>
    </row>
    <row r="89" spans="9:12" ht="15">
      <c r="I89" s="39"/>
      <c r="J89" s="39"/>
      <c r="K89" s="39"/>
      <c r="L89" s="39"/>
    </row>
    <row r="90" spans="9:12" ht="15">
      <c r="I90" s="39"/>
      <c r="J90" s="39"/>
      <c r="K90" s="39"/>
      <c r="L90" s="39"/>
    </row>
  </sheetData>
  <mergeCells count="3">
    <mergeCell ref="A36:B36"/>
    <mergeCell ref="A49:B49"/>
    <mergeCell ref="I10:K10"/>
  </mergeCells>
  <printOptions/>
  <pageMargins left="0.55" right="0.23" top="0.86" bottom="0.31" header="0.5" footer="0.5"/>
  <pageSetup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31-1-2006</oddHeader>
    <oddFooter>&amp;R&amp;"Arial,Bold"    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K59"/>
  <sheetViews>
    <sheetView showGridLines="0" workbookViewId="0" topLeftCell="A22">
      <selection activeCell="A43" sqref="A43"/>
    </sheetView>
  </sheetViews>
  <sheetFormatPr defaultColWidth="9.140625" defaultRowHeight="12.75"/>
  <cols>
    <col min="1" max="1" width="10.140625" style="2" bestFit="1" customWidth="1"/>
    <col min="2" max="2" width="9.140625" style="2" customWidth="1"/>
    <col min="3" max="3" width="8.57421875" style="2" customWidth="1"/>
    <col min="4" max="6" width="9.140625" style="2" customWidth="1"/>
    <col min="7" max="7" width="9.7109375" style="2" customWidth="1"/>
    <col min="8" max="8" width="14.7109375" style="2" customWidth="1"/>
    <col min="9" max="9" width="0.85546875" style="2" customWidth="1"/>
    <col min="10" max="10" width="14.7109375" style="67" customWidth="1"/>
    <col min="11" max="16384" width="9.140625" style="2" customWidth="1"/>
  </cols>
  <sheetData>
    <row r="2" ht="6" customHeight="1"/>
    <row r="3" ht="0.75" customHeight="1" hidden="1"/>
    <row r="4" ht="15">
      <c r="A4" s="5" t="str">
        <f>PL!A5</f>
        <v>UNAUDITED QUARTERLY FINANCIAL REPORT FOR THE PERIOD ENDED 31 JANUARY 2006</v>
      </c>
    </row>
    <row r="5" spans="1:10" s="4" customFormat="1" ht="15.75" thickBot="1">
      <c r="A5" s="133" t="s">
        <v>88</v>
      </c>
      <c r="B5" s="10"/>
      <c r="C5" s="10"/>
      <c r="D5" s="10"/>
      <c r="E5" s="10"/>
      <c r="F5" s="10"/>
      <c r="G5" s="10"/>
      <c r="H5" s="10"/>
      <c r="I5" s="10"/>
      <c r="J5" s="134"/>
    </row>
    <row r="6" spans="1:10" ht="15">
      <c r="A6" s="4"/>
      <c r="B6" s="4"/>
      <c r="C6" s="4"/>
      <c r="D6" s="4"/>
      <c r="E6" s="4"/>
      <c r="F6" s="4"/>
      <c r="G6" s="4"/>
      <c r="H6" s="12" t="s">
        <v>355</v>
      </c>
      <c r="I6" s="12"/>
      <c r="J6" s="12" t="str">
        <f>+H6</f>
        <v>9-month ended</v>
      </c>
    </row>
    <row r="7" spans="1:10" ht="15">
      <c r="A7" s="4"/>
      <c r="B7" s="4"/>
      <c r="C7" s="4"/>
      <c r="D7" s="4"/>
      <c r="E7" s="4"/>
      <c r="F7" s="4"/>
      <c r="G7" s="4"/>
      <c r="H7" s="176" t="str">
        <f>+PL!H10</f>
        <v>31-1-2006</v>
      </c>
      <c r="I7" s="12"/>
      <c r="J7" s="12" t="str">
        <f>+PL!I10</f>
        <v>31-1-2005</v>
      </c>
    </row>
    <row r="8" spans="1:10" ht="17.25" customHeight="1" thickBot="1">
      <c r="A8" s="10"/>
      <c r="B8" s="10"/>
      <c r="C8" s="10"/>
      <c r="D8" s="10"/>
      <c r="E8" s="10"/>
      <c r="F8" s="10"/>
      <c r="G8" s="10"/>
      <c r="H8" s="1" t="s">
        <v>13</v>
      </c>
      <c r="I8" s="1"/>
      <c r="J8" s="1" t="s">
        <v>13</v>
      </c>
    </row>
    <row r="9" spans="8:10" ht="1.5" customHeight="1">
      <c r="H9" s="85"/>
      <c r="I9" s="85"/>
      <c r="J9" s="85"/>
    </row>
    <row r="10" spans="1:10" ht="15">
      <c r="A10" s="5" t="s">
        <v>156</v>
      </c>
      <c r="H10" s="85"/>
      <c r="I10" s="85"/>
      <c r="J10" s="85"/>
    </row>
    <row r="11" spans="1:10" ht="15">
      <c r="A11" s="2" t="s">
        <v>162</v>
      </c>
      <c r="H11" s="85">
        <v>2319149</v>
      </c>
      <c r="I11" s="85"/>
      <c r="J11" s="85">
        <v>2103105</v>
      </c>
    </row>
    <row r="12" spans="1:10" ht="15">
      <c r="A12" s="2" t="s">
        <v>239</v>
      </c>
      <c r="H12" s="85"/>
      <c r="I12" s="85"/>
      <c r="J12" s="85"/>
    </row>
    <row r="13" spans="2:10" ht="15">
      <c r="B13" s="2" t="s">
        <v>238</v>
      </c>
      <c r="H13" s="85">
        <f>-1581661-351913-117647</f>
        <v>-2051221</v>
      </c>
      <c r="I13" s="85"/>
      <c r="J13" s="85">
        <v>-1863682</v>
      </c>
    </row>
    <row r="14" spans="1:10" ht="15">
      <c r="A14" s="2" t="s">
        <v>325</v>
      </c>
      <c r="H14" s="85">
        <v>40</v>
      </c>
      <c r="I14" s="85"/>
      <c r="J14" s="85">
        <v>91</v>
      </c>
    </row>
    <row r="15" spans="1:10" ht="15">
      <c r="A15" s="5" t="s">
        <v>97</v>
      </c>
      <c r="B15" s="5"/>
      <c r="C15" s="5"/>
      <c r="D15" s="5"/>
      <c r="E15" s="5"/>
      <c r="F15" s="5"/>
      <c r="G15" s="5"/>
      <c r="H15" s="130">
        <f>SUM(H11:H14)</f>
        <v>267968</v>
      </c>
      <c r="I15" s="131"/>
      <c r="J15" s="130">
        <f>SUM(J11:J14)</f>
        <v>239514</v>
      </c>
    </row>
    <row r="16" spans="1:10" ht="2.25" customHeight="1">
      <c r="A16" s="5"/>
      <c r="B16" s="5"/>
      <c r="C16" s="5"/>
      <c r="D16" s="5"/>
      <c r="E16" s="5"/>
      <c r="F16" s="5"/>
      <c r="G16" s="5"/>
      <c r="H16" s="85"/>
      <c r="I16" s="85"/>
      <c r="J16" s="85"/>
    </row>
    <row r="17" spans="1:10" ht="15">
      <c r="A17" s="5" t="s">
        <v>157</v>
      </c>
      <c r="B17" s="5"/>
      <c r="C17" s="5"/>
      <c r="D17" s="5"/>
      <c r="E17" s="5"/>
      <c r="F17" s="5"/>
      <c r="G17" s="5"/>
      <c r="H17" s="85"/>
      <c r="I17" s="85"/>
      <c r="J17" s="85"/>
    </row>
    <row r="18" spans="1:10" ht="15">
      <c r="A18" s="2" t="s">
        <v>163</v>
      </c>
      <c r="B18" s="5"/>
      <c r="C18" s="5"/>
      <c r="D18" s="5"/>
      <c r="E18" s="5"/>
      <c r="F18" s="5"/>
      <c r="G18" s="5"/>
      <c r="H18" s="85">
        <v>319</v>
      </c>
      <c r="I18" s="85"/>
      <c r="J18" s="85">
        <v>150</v>
      </c>
    </row>
    <row r="19" spans="1:10" ht="15">
      <c r="A19" s="2" t="s">
        <v>284</v>
      </c>
      <c r="B19" s="5"/>
      <c r="C19" s="5"/>
      <c r="D19" s="5"/>
      <c r="E19" s="5"/>
      <c r="F19" s="5"/>
      <c r="G19" s="5"/>
      <c r="H19" s="85">
        <v>114005</v>
      </c>
      <c r="I19" s="85"/>
      <c r="J19" s="85">
        <v>0</v>
      </c>
    </row>
    <row r="20" spans="1:10" ht="15">
      <c r="A20" s="2" t="s">
        <v>293</v>
      </c>
      <c r="B20" s="5"/>
      <c r="C20" s="5"/>
      <c r="D20" s="5"/>
      <c r="E20" s="5"/>
      <c r="F20" s="5"/>
      <c r="G20" s="5"/>
      <c r="H20" s="85">
        <v>92</v>
      </c>
      <c r="I20" s="85"/>
      <c r="J20" s="85">
        <v>0</v>
      </c>
    </row>
    <row r="21" spans="1:10" ht="15">
      <c r="A21" s="2" t="s">
        <v>225</v>
      </c>
      <c r="B21" s="5"/>
      <c r="C21" s="5"/>
      <c r="D21" s="5"/>
      <c r="E21" s="5"/>
      <c r="F21" s="5"/>
      <c r="G21" s="5"/>
      <c r="J21" s="2"/>
    </row>
    <row r="22" spans="2:10" ht="15">
      <c r="B22" s="2" t="s">
        <v>224</v>
      </c>
      <c r="C22" s="5"/>
      <c r="D22" s="5"/>
      <c r="E22" s="5"/>
      <c r="F22" s="5"/>
      <c r="G22" s="5"/>
      <c r="H22" s="85">
        <v>-5969</v>
      </c>
      <c r="I22" s="85"/>
      <c r="J22" s="85">
        <v>-3470</v>
      </c>
    </row>
    <row r="23" spans="1:10" ht="15">
      <c r="A23" s="2" t="s">
        <v>229</v>
      </c>
      <c r="B23" s="5"/>
      <c r="C23" s="5"/>
      <c r="D23" s="5"/>
      <c r="E23" s="5"/>
      <c r="F23" s="5"/>
      <c r="G23" s="5"/>
      <c r="H23" s="85">
        <v>0</v>
      </c>
      <c r="I23" s="85"/>
      <c r="J23" s="85">
        <v>-152</v>
      </c>
    </row>
    <row r="24" spans="1:10" ht="15">
      <c r="A24" s="2" t="s">
        <v>158</v>
      </c>
      <c r="B24" s="5"/>
      <c r="C24" s="5"/>
      <c r="D24" s="5"/>
      <c r="E24" s="5"/>
      <c r="F24" s="5"/>
      <c r="G24" s="5"/>
      <c r="H24" s="85">
        <v>-10437</v>
      </c>
      <c r="I24" s="85"/>
      <c r="J24" s="85">
        <v>-10844</v>
      </c>
    </row>
    <row r="25" spans="1:10" ht="15">
      <c r="A25" s="2" t="s">
        <v>323</v>
      </c>
      <c r="B25" s="5"/>
      <c r="C25" s="5"/>
      <c r="D25" s="5"/>
      <c r="E25" s="5"/>
      <c r="F25" s="5"/>
      <c r="G25" s="5"/>
      <c r="H25" s="85">
        <v>-660</v>
      </c>
      <c r="I25" s="85"/>
      <c r="J25" s="85">
        <v>0</v>
      </c>
    </row>
    <row r="26" spans="1:10" ht="15">
      <c r="A26" s="2" t="s">
        <v>454</v>
      </c>
      <c r="B26" s="5"/>
      <c r="C26" s="5"/>
      <c r="D26" s="5"/>
      <c r="E26" s="5"/>
      <c r="F26" s="5"/>
      <c r="G26" s="5"/>
      <c r="H26" s="85">
        <f>176895+177-114</f>
        <v>176958</v>
      </c>
      <c r="I26" s="85"/>
      <c r="J26" s="85">
        <f>163443-1252</f>
        <v>162191</v>
      </c>
    </row>
    <row r="27" spans="1:10" ht="15">
      <c r="A27" s="2" t="s">
        <v>465</v>
      </c>
      <c r="B27" s="5"/>
      <c r="C27" s="5"/>
      <c r="D27" s="5"/>
      <c r="E27" s="5"/>
      <c r="F27" s="5"/>
      <c r="G27" s="5"/>
      <c r="H27" s="85">
        <v>10002</v>
      </c>
      <c r="I27" s="85"/>
      <c r="J27" s="85">
        <v>3828</v>
      </c>
    </row>
    <row r="28" spans="1:10" ht="15">
      <c r="A28" s="2" t="s">
        <v>473</v>
      </c>
      <c r="B28" s="5"/>
      <c r="C28" s="5"/>
      <c r="D28" s="5"/>
      <c r="E28" s="5"/>
      <c r="F28" s="5"/>
      <c r="G28" s="5"/>
      <c r="H28" s="85">
        <v>-3018</v>
      </c>
      <c r="I28" s="85"/>
      <c r="J28" s="85">
        <v>0</v>
      </c>
    </row>
    <row r="29" spans="1:10" ht="15">
      <c r="A29" s="2" t="s">
        <v>288</v>
      </c>
      <c r="B29" s="5"/>
      <c r="C29" s="5"/>
      <c r="D29" s="5"/>
      <c r="E29" s="5"/>
      <c r="F29" s="5"/>
      <c r="G29" s="5"/>
      <c r="H29" s="85">
        <f>1+285</f>
        <v>286</v>
      </c>
      <c r="I29" s="85"/>
      <c r="J29" s="85">
        <v>1551</v>
      </c>
    </row>
    <row r="30" spans="1:10" ht="15">
      <c r="A30" s="5" t="s">
        <v>466</v>
      </c>
      <c r="B30" s="5"/>
      <c r="C30" s="5"/>
      <c r="D30" s="5"/>
      <c r="E30" s="5"/>
      <c r="F30" s="5"/>
      <c r="G30" s="5"/>
      <c r="H30" s="130">
        <f>SUM(H18:H29)</f>
        <v>281578</v>
      </c>
      <c r="I30" s="131"/>
      <c r="J30" s="130">
        <f>SUM(J18:J29)</f>
        <v>153254</v>
      </c>
    </row>
    <row r="31" spans="1:10" ht="2.25" customHeight="1">
      <c r="A31" s="5"/>
      <c r="B31" s="5"/>
      <c r="C31" s="5"/>
      <c r="D31" s="5"/>
      <c r="E31" s="5"/>
      <c r="F31" s="5"/>
      <c r="G31" s="5"/>
      <c r="H31" s="131"/>
      <c r="I31" s="131"/>
      <c r="J31" s="131"/>
    </row>
    <row r="32" spans="1:10" ht="15">
      <c r="A32" s="5" t="s">
        <v>159</v>
      </c>
      <c r="B32" s="5"/>
      <c r="C32" s="5"/>
      <c r="D32" s="5"/>
      <c r="E32" s="5"/>
      <c r="F32" s="5"/>
      <c r="G32" s="5"/>
      <c r="H32" s="131"/>
      <c r="I32" s="131"/>
      <c r="J32" s="131"/>
    </row>
    <row r="33" spans="1:10" ht="15">
      <c r="A33" s="2" t="s">
        <v>160</v>
      </c>
      <c r="B33" s="5"/>
      <c r="C33" s="5"/>
      <c r="D33" s="5"/>
      <c r="E33" s="5"/>
      <c r="F33" s="5"/>
      <c r="G33" s="5"/>
      <c r="H33" s="131">
        <v>26313</v>
      </c>
      <c r="I33" s="131"/>
      <c r="J33" s="131">
        <f>1650</f>
        <v>1650</v>
      </c>
    </row>
    <row r="34" spans="1:10" ht="15">
      <c r="A34" s="2" t="s">
        <v>326</v>
      </c>
      <c r="B34" s="5"/>
      <c r="C34" s="5"/>
      <c r="D34" s="5"/>
      <c r="E34" s="5"/>
      <c r="F34" s="5"/>
      <c r="G34" s="5"/>
      <c r="H34" s="131">
        <v>-628911</v>
      </c>
      <c r="I34" s="131"/>
      <c r="J34" s="131">
        <v>0</v>
      </c>
    </row>
    <row r="35" spans="1:10" ht="15">
      <c r="A35" s="2" t="s">
        <v>324</v>
      </c>
      <c r="B35" s="5"/>
      <c r="C35" s="5"/>
      <c r="D35" s="5"/>
      <c r="E35" s="5"/>
      <c r="F35" s="5"/>
      <c r="G35" s="5"/>
      <c r="H35" s="131">
        <v>600000</v>
      </c>
      <c r="I35" s="131"/>
      <c r="J35" s="131">
        <v>0</v>
      </c>
    </row>
    <row r="36" spans="1:10" ht="15">
      <c r="A36" s="2" t="s">
        <v>215</v>
      </c>
      <c r="B36" s="5"/>
      <c r="C36" s="5"/>
      <c r="D36" s="5"/>
      <c r="E36" s="5"/>
      <c r="F36" s="5"/>
      <c r="G36" s="5"/>
      <c r="H36" s="131">
        <v>-3647</v>
      </c>
      <c r="I36" s="131"/>
      <c r="J36" s="131">
        <v>-1136</v>
      </c>
    </row>
    <row r="37" spans="1:10" ht="15">
      <c r="A37" s="2" t="s">
        <v>193</v>
      </c>
      <c r="B37" s="5"/>
      <c r="C37" s="5"/>
      <c r="D37" s="5"/>
      <c r="E37" s="5"/>
      <c r="F37" s="5"/>
      <c r="G37" s="5"/>
      <c r="H37" s="131">
        <v>-81166</v>
      </c>
      <c r="I37" s="131"/>
      <c r="J37" s="131">
        <v>-131891</v>
      </c>
    </row>
    <row r="38" spans="1:10" ht="15">
      <c r="A38" s="2" t="s">
        <v>164</v>
      </c>
      <c r="B38" s="5"/>
      <c r="C38" s="5"/>
      <c r="D38" s="5"/>
      <c r="E38" s="5"/>
      <c r="F38" s="5"/>
      <c r="G38" s="5"/>
      <c r="H38" s="131">
        <v>-316807</v>
      </c>
      <c r="I38" s="131"/>
      <c r="J38" s="131">
        <v>-249889</v>
      </c>
    </row>
    <row r="39" spans="1:10" ht="15">
      <c r="A39" s="2" t="s">
        <v>171</v>
      </c>
      <c r="B39" s="5"/>
      <c r="C39" s="5"/>
      <c r="D39" s="5"/>
      <c r="E39" s="5"/>
      <c r="F39" s="5"/>
      <c r="G39" s="5"/>
      <c r="H39" s="131">
        <v>-5195</v>
      </c>
      <c r="I39" s="131"/>
      <c r="J39" s="131">
        <v>-16392</v>
      </c>
    </row>
    <row r="40" spans="1:10" ht="15">
      <c r="A40" s="2" t="s">
        <v>467</v>
      </c>
      <c r="B40" s="5"/>
      <c r="C40" s="5"/>
      <c r="D40" s="5"/>
      <c r="E40" s="5"/>
      <c r="F40" s="5"/>
      <c r="G40" s="5"/>
      <c r="H40" s="131">
        <v>-11099</v>
      </c>
      <c r="I40" s="131"/>
      <c r="J40" s="131">
        <v>-141</v>
      </c>
    </row>
    <row r="41" spans="1:10" ht="15">
      <c r="A41" s="2" t="s">
        <v>161</v>
      </c>
      <c r="B41" s="5"/>
      <c r="C41" s="5"/>
      <c r="D41" s="5"/>
      <c r="E41" s="5"/>
      <c r="F41" s="5"/>
      <c r="G41" s="5"/>
      <c r="H41" s="131">
        <f>-26</f>
        <v>-26</v>
      </c>
      <c r="I41" s="131"/>
      <c r="J41" s="131">
        <v>0</v>
      </c>
    </row>
    <row r="42" spans="1:10" ht="15">
      <c r="A42" s="2" t="s">
        <v>474</v>
      </c>
      <c r="B42" s="5"/>
      <c r="C42" s="5"/>
      <c r="D42" s="5"/>
      <c r="E42" s="5"/>
      <c r="F42" s="5"/>
      <c r="G42" s="5"/>
      <c r="H42" s="131">
        <v>0</v>
      </c>
      <c r="I42" s="131"/>
      <c r="J42" s="131">
        <v>16300</v>
      </c>
    </row>
    <row r="43" spans="1:10" ht="15">
      <c r="A43" s="8" t="s">
        <v>98</v>
      </c>
      <c r="B43" s="5"/>
      <c r="C43" s="5"/>
      <c r="D43" s="5"/>
      <c r="E43" s="5"/>
      <c r="F43" s="5"/>
      <c r="G43" s="5"/>
      <c r="H43" s="130">
        <f>SUM(H33:H42)</f>
        <v>-420538</v>
      </c>
      <c r="I43" s="131"/>
      <c r="J43" s="130">
        <f>SUM(J33:J42)</f>
        <v>-381499</v>
      </c>
    </row>
    <row r="44" spans="1:10" ht="3" customHeight="1">
      <c r="A44" s="69"/>
      <c r="B44" s="69"/>
      <c r="C44" s="69"/>
      <c r="D44" s="69"/>
      <c r="E44" s="69"/>
      <c r="F44" s="69"/>
      <c r="G44" s="69"/>
      <c r="H44" s="86"/>
      <c r="I44" s="86"/>
      <c r="J44" s="86"/>
    </row>
    <row r="45" spans="1:10" ht="15">
      <c r="A45" s="2" t="s">
        <v>468</v>
      </c>
      <c r="H45" s="85">
        <f>+H43+H30+H15</f>
        <v>129008</v>
      </c>
      <c r="I45" s="85"/>
      <c r="J45" s="85">
        <f>+J43+J30+J15</f>
        <v>11269</v>
      </c>
    </row>
    <row r="46" spans="1:10" ht="15">
      <c r="A46" s="100" t="s">
        <v>214</v>
      </c>
      <c r="H46" s="85">
        <v>343574</v>
      </c>
      <c r="I46" s="85"/>
      <c r="J46" s="85">
        <v>343372</v>
      </c>
    </row>
    <row r="47" spans="1:10" ht="15">
      <c r="A47" s="132" t="s">
        <v>110</v>
      </c>
      <c r="B47" s="6"/>
      <c r="C47" s="6"/>
      <c r="D47" s="6"/>
      <c r="E47" s="6"/>
      <c r="F47" s="6"/>
      <c r="G47" s="6"/>
      <c r="H47" s="86">
        <v>732</v>
      </c>
      <c r="I47" s="86"/>
      <c r="J47" s="86">
        <v>156</v>
      </c>
    </row>
    <row r="48" spans="1:10" ht="15.75" thickBot="1">
      <c r="A48" s="102" t="s">
        <v>356</v>
      </c>
      <c r="B48" s="10"/>
      <c r="C48" s="10"/>
      <c r="D48" s="10"/>
      <c r="E48" s="10"/>
      <c r="F48" s="10"/>
      <c r="G48" s="10"/>
      <c r="H48" s="87">
        <f>SUM(H45:H47)</f>
        <v>473314</v>
      </c>
      <c r="I48" s="87"/>
      <c r="J48" s="87">
        <f>SUM(J45:J47)</f>
        <v>354797</v>
      </c>
    </row>
    <row r="49" spans="8:10" ht="5.25" customHeight="1">
      <c r="H49" s="85"/>
      <c r="I49" s="85"/>
      <c r="J49" s="85"/>
    </row>
    <row r="50" spans="8:10" ht="15">
      <c r="H50" s="12" t="str">
        <f>+H6</f>
        <v>9-month ended</v>
      </c>
      <c r="I50" s="12"/>
      <c r="J50" s="12" t="str">
        <f>+J6</f>
        <v>9-month ended</v>
      </c>
    </row>
    <row r="51" spans="8:10" ht="15">
      <c r="H51" s="12" t="str">
        <f>+H7</f>
        <v>31-1-2006</v>
      </c>
      <c r="I51" s="12"/>
      <c r="J51" s="12" t="str">
        <f>+J7</f>
        <v>31-1-2005</v>
      </c>
    </row>
    <row r="52" spans="8:10" ht="15.75" thickBot="1">
      <c r="H52" s="1" t="s">
        <v>13</v>
      </c>
      <c r="I52" s="1"/>
      <c r="J52" s="1" t="s">
        <v>13</v>
      </c>
    </row>
    <row r="53" spans="1:9" ht="15">
      <c r="A53" s="2" t="s">
        <v>111</v>
      </c>
      <c r="H53" s="67"/>
      <c r="I53" s="67"/>
    </row>
    <row r="54" spans="1:8" ht="15">
      <c r="A54" s="2" t="s">
        <v>182</v>
      </c>
      <c r="H54" s="67"/>
    </row>
    <row r="55" spans="2:10" ht="15">
      <c r="B55" s="2" t="s">
        <v>94</v>
      </c>
      <c r="H55" s="72">
        <v>37755</v>
      </c>
      <c r="I55" s="72"/>
      <c r="J55" s="72">
        <v>15050</v>
      </c>
    </row>
    <row r="56" spans="2:11" ht="15">
      <c r="B56" s="2" t="s">
        <v>105</v>
      </c>
      <c r="H56" s="72">
        <v>435559</v>
      </c>
      <c r="I56" s="72"/>
      <c r="J56" s="72">
        <v>339747</v>
      </c>
      <c r="K56" s="72"/>
    </row>
    <row r="57" spans="8:10" ht="14.25" customHeight="1" thickBot="1">
      <c r="H57" s="106">
        <f>+H55+H56</f>
        <v>473314</v>
      </c>
      <c r="I57" s="106"/>
      <c r="J57" s="106">
        <f>+J55+J56</f>
        <v>354797</v>
      </c>
    </row>
    <row r="58" ht="7.5" customHeight="1" thickTop="1">
      <c r="J58" s="72"/>
    </row>
    <row r="59" spans="1:10" ht="15">
      <c r="A59" s="5" t="s">
        <v>219</v>
      </c>
      <c r="J59" s="27"/>
    </row>
  </sheetData>
  <printOptions/>
  <pageMargins left="0.75" right="0.49" top="0.86" bottom="0.81" header="0.5" footer="0.5"/>
  <pageSetup horizontalDpi="600" verticalDpi="600" orientation="portrait" paperSize="9" scale="93" r:id="rId1"/>
  <headerFooter alignWithMargins="0">
    <oddHeader>&amp;R&amp;"Arial,Bold"Berjaya Sports Toto Berhad&amp;U
&amp;9&amp;U(&amp;"Arial,Regular"Company No. 9109-K)
Quarterly Report 31-1-2006</oddHeader>
    <oddFooter>&amp;R&amp;"Arial,Bold"    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198"/>
  <sheetViews>
    <sheetView showGridLines="0" workbookViewId="0" topLeftCell="A144">
      <selection activeCell="E152" sqref="E152"/>
    </sheetView>
  </sheetViews>
  <sheetFormatPr defaultColWidth="9.140625" defaultRowHeight="12.75"/>
  <cols>
    <col min="1" max="1" width="4.57421875" style="55" customWidth="1"/>
    <col min="2" max="2" width="4.28125" style="55" customWidth="1"/>
    <col min="3" max="3" width="10.28125" style="39" customWidth="1"/>
    <col min="4" max="4" width="8.7109375" style="39" customWidth="1"/>
    <col min="5" max="5" width="9.28125" style="39" customWidth="1"/>
    <col min="6" max="6" width="8.421875" style="39" customWidth="1"/>
    <col min="7" max="7" width="7.7109375" style="39" customWidth="1"/>
    <col min="8" max="8" width="11.28125" style="39" customWidth="1"/>
    <col min="9" max="9" width="11.8515625" style="39" customWidth="1"/>
    <col min="10" max="10" width="9.28125" style="39" customWidth="1"/>
    <col min="11" max="11" width="10.00390625" style="39" customWidth="1"/>
    <col min="12" max="12" width="0.2890625" style="39" hidden="1" customWidth="1"/>
    <col min="13" max="13" width="6.8515625" style="39" hidden="1" customWidth="1"/>
    <col min="14" max="14" width="6.140625" style="39" hidden="1" customWidth="1"/>
    <col min="15" max="15" width="6.28125" style="39" hidden="1" customWidth="1"/>
    <col min="16" max="16" width="0.42578125" style="39" customWidth="1"/>
    <col min="17" max="17" width="6.140625" style="39" customWidth="1"/>
    <col min="18" max="18" width="5.57421875" style="39" customWidth="1"/>
    <col min="19" max="16384" width="9.140625" style="39" customWidth="1"/>
  </cols>
  <sheetData>
    <row r="2" spans="1:256" ht="6" customHeight="1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 customHeight="1">
      <c r="A3" s="5" t="str">
        <f>PL!A5</f>
        <v>UNAUDITED QUARTERLY FINANCIAL REPORT FOR THE PERIOD ENDED 31 JANUARY 2006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4" ht="14.25" customHeight="1">
      <c r="A4" s="53" t="s">
        <v>220</v>
      </c>
      <c r="C4" s="55"/>
      <c r="D4" s="55"/>
    </row>
    <row r="5" spans="1:4" ht="8.25" customHeight="1">
      <c r="A5" s="53"/>
      <c r="C5" s="55"/>
      <c r="D5" s="55"/>
    </row>
    <row r="6" spans="1:4" ht="15">
      <c r="A6" s="55" t="s">
        <v>42</v>
      </c>
      <c r="B6" s="55" t="s">
        <v>194</v>
      </c>
      <c r="C6" s="55"/>
      <c r="D6" s="55"/>
    </row>
    <row r="7" ht="15">
      <c r="B7" s="55" t="s">
        <v>202</v>
      </c>
    </row>
    <row r="8" spans="3:4" ht="9" customHeight="1">
      <c r="C8" s="55"/>
      <c r="D8" s="55"/>
    </row>
    <row r="9" spans="2:4" ht="15">
      <c r="B9" s="55" t="s">
        <v>195</v>
      </c>
      <c r="C9" s="55"/>
      <c r="D9" s="55"/>
    </row>
    <row r="10" ht="15">
      <c r="B10" s="55" t="s">
        <v>240</v>
      </c>
    </row>
    <row r="11" spans="3:4" ht="9" customHeight="1">
      <c r="C11" s="55"/>
      <c r="D11" s="55"/>
    </row>
    <row r="12" spans="2:4" ht="15">
      <c r="B12" s="146" t="s">
        <v>40</v>
      </c>
      <c r="C12" s="55"/>
      <c r="D12" s="55"/>
    </row>
    <row r="13" spans="2:3" ht="15">
      <c r="B13" s="55" t="s">
        <v>241</v>
      </c>
      <c r="C13" s="55"/>
    </row>
    <row r="14" spans="2:4" ht="15">
      <c r="B14" s="55" t="s">
        <v>216</v>
      </c>
      <c r="C14" s="55"/>
      <c r="D14" s="55"/>
    </row>
    <row r="15" ht="13.5" customHeight="1">
      <c r="D15" s="55"/>
    </row>
    <row r="16" spans="1:4" ht="15">
      <c r="A16" s="55" t="s">
        <v>43</v>
      </c>
      <c r="B16" s="55" t="s">
        <v>176</v>
      </c>
      <c r="C16" s="55"/>
      <c r="D16" s="55"/>
    </row>
    <row r="17" spans="2:4" ht="15">
      <c r="B17" s="55" t="s">
        <v>39</v>
      </c>
      <c r="C17" s="55"/>
      <c r="D17" s="55"/>
    </row>
    <row r="18" ht="11.25" customHeight="1"/>
    <row r="19" spans="1:4" ht="15">
      <c r="A19" s="55" t="s">
        <v>44</v>
      </c>
      <c r="B19" s="55" t="s">
        <v>96</v>
      </c>
      <c r="C19" s="55"/>
      <c r="D19" s="55"/>
    </row>
    <row r="20" ht="15">
      <c r="B20" s="55" t="s">
        <v>146</v>
      </c>
    </row>
    <row r="21" ht="11.25" customHeight="1"/>
    <row r="22" spans="1:4" ht="15">
      <c r="A22" s="55" t="s">
        <v>45</v>
      </c>
      <c r="B22" s="55" t="s">
        <v>196</v>
      </c>
      <c r="C22" s="55"/>
      <c r="D22" s="55"/>
    </row>
    <row r="23" spans="2:3" ht="15">
      <c r="B23" s="55" t="s">
        <v>357</v>
      </c>
      <c r="C23" s="56"/>
    </row>
    <row r="24" spans="2:3" ht="15">
      <c r="B24" s="55" t="s">
        <v>278</v>
      </c>
      <c r="C24" s="56"/>
    </row>
    <row r="25" spans="2:3" ht="15">
      <c r="B25" s="146" t="s">
        <v>460</v>
      </c>
      <c r="C25" s="172"/>
    </row>
    <row r="26" spans="2:3" ht="15" customHeight="1">
      <c r="B26" s="55" t="s">
        <v>287</v>
      </c>
      <c r="C26" s="56"/>
    </row>
    <row r="27" spans="2:3" ht="15" customHeight="1">
      <c r="B27" s="55" t="s">
        <v>322</v>
      </c>
      <c r="C27" s="56"/>
    </row>
    <row r="28" spans="2:3" ht="15" customHeight="1">
      <c r="B28" s="55" t="s">
        <v>333</v>
      </c>
      <c r="C28" s="56"/>
    </row>
    <row r="29" spans="2:3" ht="15" customHeight="1">
      <c r="B29" s="55" t="s">
        <v>332</v>
      </c>
      <c r="C29" s="56"/>
    </row>
    <row r="30" ht="10.5" customHeight="1">
      <c r="C30" s="56"/>
    </row>
    <row r="31" spans="2:3" ht="15">
      <c r="B31" s="55" t="s">
        <v>217</v>
      </c>
      <c r="C31" s="56"/>
    </row>
    <row r="32" spans="2:3" ht="15">
      <c r="B32" s="55" t="s">
        <v>295</v>
      </c>
      <c r="C32" s="56"/>
    </row>
    <row r="33" ht="12" customHeight="1">
      <c r="C33" s="56"/>
    </row>
    <row r="34" spans="1:3" ht="15">
      <c r="A34" s="55" t="s">
        <v>46</v>
      </c>
      <c r="B34" s="55" t="s">
        <v>358</v>
      </c>
      <c r="C34" s="56"/>
    </row>
    <row r="35" spans="2:4" ht="15">
      <c r="B35" s="55" t="s">
        <v>242</v>
      </c>
      <c r="C35" s="57"/>
      <c r="D35" s="57"/>
    </row>
    <row r="36" spans="2:4" ht="15">
      <c r="B36" s="55" t="s">
        <v>359</v>
      </c>
      <c r="C36" s="57"/>
      <c r="D36" s="57"/>
    </row>
    <row r="37" spans="3:4" ht="8.25" customHeight="1">
      <c r="C37" s="57"/>
      <c r="D37" s="57"/>
    </row>
    <row r="38" ht="15">
      <c r="B38" s="55" t="s">
        <v>112</v>
      </c>
    </row>
    <row r="39" ht="4.5" customHeight="1"/>
    <row r="40" spans="2:10" ht="15">
      <c r="B40" s="108"/>
      <c r="C40" s="109"/>
      <c r="D40" s="203" t="s">
        <v>114</v>
      </c>
      <c r="E40" s="204"/>
      <c r="F40" s="204"/>
      <c r="G40" s="118"/>
      <c r="H40" s="119"/>
      <c r="I40" s="198" t="s">
        <v>119</v>
      </c>
      <c r="J40" s="199"/>
    </row>
    <row r="41" spans="2:10" ht="15">
      <c r="B41" s="114" t="s">
        <v>113</v>
      </c>
      <c r="C41" s="44"/>
      <c r="D41" s="115" t="s">
        <v>115</v>
      </c>
      <c r="E41" s="117" t="s">
        <v>116</v>
      </c>
      <c r="F41" s="44" t="s">
        <v>117</v>
      </c>
      <c r="G41" s="202" t="s">
        <v>118</v>
      </c>
      <c r="H41" s="201"/>
      <c r="I41" s="200" t="s">
        <v>13</v>
      </c>
      <c r="J41" s="201"/>
    </row>
    <row r="42" spans="2:10" ht="15">
      <c r="B42" s="111" t="s">
        <v>243</v>
      </c>
      <c r="C42" s="65"/>
      <c r="D42" s="161">
        <v>4.17</v>
      </c>
      <c r="E42" s="162">
        <v>4.19</v>
      </c>
      <c r="F42" s="163">
        <v>4.19</v>
      </c>
      <c r="G42" s="138"/>
      <c r="H42" s="139">
        <f>250000+1000000+1150000+1500000</f>
        <v>3900000</v>
      </c>
      <c r="I42" s="140"/>
      <c r="J42" s="139">
        <f>1048+4194+4815+6304</f>
        <v>16361</v>
      </c>
    </row>
    <row r="43" spans="2:10" ht="15">
      <c r="B43" s="111" t="s">
        <v>244</v>
      </c>
      <c r="C43" s="65"/>
      <c r="D43" s="161">
        <v>4.27</v>
      </c>
      <c r="E43" s="162">
        <v>4.36</v>
      </c>
      <c r="F43" s="163">
        <f>+J43/(H43/1000)</f>
        <v>4.3332</v>
      </c>
      <c r="G43" s="115"/>
      <c r="H43" s="44">
        <f>1200000+1300000</f>
        <v>2500000</v>
      </c>
      <c r="I43" s="115"/>
      <c r="J43" s="113">
        <f>5145+5688</f>
        <v>10833</v>
      </c>
    </row>
    <row r="44" spans="2:10" ht="15">
      <c r="B44" s="111"/>
      <c r="C44" s="65"/>
      <c r="D44" s="161"/>
      <c r="E44" s="162"/>
      <c r="F44" s="163"/>
      <c r="G44" s="116"/>
      <c r="H44" s="65">
        <f>+H42+H43</f>
        <v>6400000</v>
      </c>
      <c r="I44" s="116"/>
      <c r="J44" s="112">
        <f>+J42+J43</f>
        <v>27194</v>
      </c>
    </row>
    <row r="45" spans="2:10" ht="15">
      <c r="B45" s="111" t="s">
        <v>297</v>
      </c>
      <c r="C45" s="65"/>
      <c r="D45" s="161">
        <v>4.11</v>
      </c>
      <c r="E45" s="162">
        <v>4.12</v>
      </c>
      <c r="F45" s="163">
        <f>+J45/(H45/1000)-0.01</f>
        <v>4.121261365514962</v>
      </c>
      <c r="G45" s="116"/>
      <c r="H45" s="112">
        <f>400000+204900</f>
        <v>604900</v>
      </c>
      <c r="I45" s="116"/>
      <c r="J45" s="112">
        <f>1654+846-1</f>
        <v>2499</v>
      </c>
    </row>
    <row r="46" spans="2:10" ht="15">
      <c r="B46" s="111" t="s">
        <v>360</v>
      </c>
      <c r="C46" s="65"/>
      <c r="D46" s="161">
        <v>4.25</v>
      </c>
      <c r="E46" s="162">
        <v>4.33</v>
      </c>
      <c r="F46" s="163">
        <f>+J46/(H46/1000)</f>
        <v>4.307028027294807</v>
      </c>
      <c r="G46" s="116"/>
      <c r="H46" s="65">
        <f>400000+300000+245100+305000+300000+658000+385800</f>
        <v>2593900</v>
      </c>
      <c r="I46" s="116"/>
      <c r="J46" s="112">
        <f>1706+1295+1059+1316+1302+2837+1657</f>
        <v>11172</v>
      </c>
    </row>
    <row r="47" spans="2:10" ht="15">
      <c r="B47" s="111" t="s">
        <v>361</v>
      </c>
      <c r="C47" s="65"/>
      <c r="D47" s="161">
        <v>4.23</v>
      </c>
      <c r="E47" s="162">
        <v>4.5</v>
      </c>
      <c r="F47" s="163">
        <f>+J47/(H47/1000)</f>
        <v>4.387955634523233</v>
      </c>
      <c r="G47" s="116"/>
      <c r="H47" s="65">
        <f>935000+571400+445000+410400+164200+150000+260000+100000+100000+257300+157900+250000+500000+500000+330000+500000+200000+388300+374000+407700+428000</f>
        <v>7429200</v>
      </c>
      <c r="I47" s="116"/>
      <c r="J47" s="112">
        <f>3994+2427+1895+1756+712+647+1122+446+445+1146+702+1107+2212+2207+1476+2230+895+1754+1676+1831+1919</f>
        <v>32599</v>
      </c>
    </row>
    <row r="48" spans="2:10" ht="15">
      <c r="B48" s="111" t="s">
        <v>362</v>
      </c>
      <c r="C48" s="65"/>
      <c r="D48" s="161">
        <v>4.42</v>
      </c>
      <c r="E48" s="162">
        <v>4.58</v>
      </c>
      <c r="F48" s="163">
        <f>+J48/(H48/1000)</f>
        <v>4.494631185807656</v>
      </c>
      <c r="G48" s="115"/>
      <c r="H48" s="44">
        <f>658700+219700+234100+60500+335000+205600</f>
        <v>1713600</v>
      </c>
      <c r="I48" s="115"/>
      <c r="J48" s="113">
        <f>2920+981+1045+274+1539+943</f>
        <v>7702</v>
      </c>
    </row>
    <row r="49" spans="2:10" ht="15">
      <c r="B49" s="123" t="s">
        <v>121</v>
      </c>
      <c r="C49" s="44"/>
      <c r="D49" s="120"/>
      <c r="E49" s="121"/>
      <c r="F49" s="122"/>
      <c r="G49" s="115"/>
      <c r="H49" s="113">
        <f>SUM(H44:H48)</f>
        <v>18741600</v>
      </c>
      <c r="I49" s="44"/>
      <c r="J49" s="113">
        <f>SUM(J44:J48)</f>
        <v>81166</v>
      </c>
    </row>
    <row r="50" spans="1:2" ht="9.75" customHeight="1">
      <c r="A50" s="39"/>
      <c r="B50" s="39"/>
    </row>
    <row r="51" spans="1:2" ht="15" customHeight="1">
      <c r="A51" s="39"/>
      <c r="B51" s="39"/>
    </row>
    <row r="52" spans="1:2" ht="15" customHeight="1">
      <c r="A52" s="39"/>
      <c r="B52" s="39"/>
    </row>
    <row r="53" spans="1:2" ht="15" customHeight="1">
      <c r="A53" s="39"/>
      <c r="B53" s="39"/>
    </row>
    <row r="54" spans="1:2" ht="15" customHeight="1">
      <c r="A54" s="39"/>
      <c r="B54" s="39"/>
    </row>
    <row r="55" spans="1:2" ht="15" customHeight="1">
      <c r="A55" s="39"/>
      <c r="B55" s="39"/>
    </row>
    <row r="56" spans="1:2" ht="15" customHeight="1">
      <c r="A56" s="39"/>
      <c r="B56" s="39"/>
    </row>
    <row r="57" spans="1:2" ht="15" customHeight="1">
      <c r="A57" s="39"/>
      <c r="B57" s="39"/>
    </row>
    <row r="58" spans="1:2" ht="15" customHeight="1">
      <c r="A58" s="39"/>
      <c r="B58" s="39"/>
    </row>
    <row r="59" spans="1:2" ht="15" customHeight="1">
      <c r="A59" s="39"/>
      <c r="B59" s="39"/>
    </row>
    <row r="60" spans="1:2" ht="15" customHeight="1">
      <c r="A60" s="39"/>
      <c r="B60" s="39"/>
    </row>
    <row r="61" spans="1:2" ht="15" customHeight="1">
      <c r="A61" s="39"/>
      <c r="B61" s="39"/>
    </row>
    <row r="62" spans="1:2" ht="6" customHeight="1">
      <c r="A62" s="39"/>
      <c r="B62" s="39"/>
    </row>
    <row r="63" spans="1:2" ht="3.75" customHeight="1">
      <c r="A63" s="39"/>
      <c r="B63" s="39"/>
    </row>
    <row r="64" spans="1:2" ht="15" customHeight="1">
      <c r="A64" s="55" t="s">
        <v>46</v>
      </c>
      <c r="B64" s="55" t="s">
        <v>363</v>
      </c>
    </row>
    <row r="65" ht="3.75" customHeight="1">
      <c r="A65" s="39"/>
    </row>
    <row r="66" spans="2:10" ht="15" customHeight="1">
      <c r="B66" s="108"/>
      <c r="C66" s="109"/>
      <c r="D66" s="109"/>
      <c r="E66" s="109"/>
      <c r="F66" s="109"/>
      <c r="G66" s="118"/>
      <c r="H66" s="119"/>
      <c r="I66" s="198" t="s">
        <v>120</v>
      </c>
      <c r="J66" s="199"/>
    </row>
    <row r="67" spans="2:10" ht="15" customHeight="1">
      <c r="B67" s="114"/>
      <c r="C67" s="44"/>
      <c r="D67" s="44"/>
      <c r="E67" s="44"/>
      <c r="F67" s="44"/>
      <c r="G67" s="202" t="s">
        <v>118</v>
      </c>
      <c r="H67" s="201"/>
      <c r="I67" s="200" t="s">
        <v>13</v>
      </c>
      <c r="J67" s="201"/>
    </row>
    <row r="68" spans="2:10" ht="15" customHeight="1">
      <c r="B68" s="110" t="s">
        <v>245</v>
      </c>
      <c r="C68" s="65"/>
      <c r="D68" s="65"/>
      <c r="E68" s="65"/>
      <c r="F68" s="65"/>
      <c r="G68" s="116"/>
      <c r="H68" s="112">
        <v>78600000</v>
      </c>
      <c r="I68" s="65"/>
      <c r="J68" s="112">
        <v>373568</v>
      </c>
    </row>
    <row r="69" spans="2:10" ht="15" customHeight="1">
      <c r="B69" s="110" t="s">
        <v>318</v>
      </c>
      <c r="C69" s="65"/>
      <c r="D69" s="65"/>
      <c r="E69" s="65"/>
      <c r="F69" s="65"/>
      <c r="G69" s="116"/>
      <c r="H69" s="112"/>
      <c r="I69" s="65"/>
      <c r="J69" s="112"/>
    </row>
    <row r="70" spans="2:10" ht="15" customHeight="1">
      <c r="B70" s="110" t="s">
        <v>319</v>
      </c>
      <c r="C70" s="65"/>
      <c r="D70" s="65"/>
      <c r="E70" s="65"/>
      <c r="F70" s="65"/>
      <c r="G70" s="116"/>
      <c r="H70" s="112">
        <f>+H44</f>
        <v>6400000</v>
      </c>
      <c r="I70" s="65"/>
      <c r="J70" s="112">
        <f>+J44</f>
        <v>27194</v>
      </c>
    </row>
    <row r="71" spans="2:10" ht="15" customHeight="1">
      <c r="B71" s="110" t="s">
        <v>298</v>
      </c>
      <c r="C71" s="65"/>
      <c r="D71" s="65"/>
      <c r="E71" s="65"/>
      <c r="F71" s="65"/>
      <c r="G71" s="116"/>
      <c r="H71" s="112"/>
      <c r="I71" s="65"/>
      <c r="J71" s="112"/>
    </row>
    <row r="72" spans="2:10" ht="15" customHeight="1">
      <c r="B72" s="110" t="s">
        <v>299</v>
      </c>
      <c r="C72" s="65"/>
      <c r="D72" s="65"/>
      <c r="E72" s="65"/>
      <c r="F72" s="65"/>
      <c r="G72" s="115"/>
      <c r="H72" s="113">
        <v>0</v>
      </c>
      <c r="I72" s="44"/>
      <c r="J72" s="113">
        <f>-85000*0.5</f>
        <v>-42500</v>
      </c>
    </row>
    <row r="73" spans="2:10" ht="15" customHeight="1">
      <c r="B73" s="110" t="s">
        <v>321</v>
      </c>
      <c r="C73" s="65"/>
      <c r="D73" s="65"/>
      <c r="E73" s="65"/>
      <c r="F73" s="65"/>
      <c r="G73" s="116"/>
      <c r="H73" s="112">
        <f>+H68+H70</f>
        <v>85000000</v>
      </c>
      <c r="I73" s="65"/>
      <c r="J73" s="112">
        <f>SUM(J68:J72)</f>
        <v>358262</v>
      </c>
    </row>
    <row r="74" spans="2:10" ht="15" customHeight="1">
      <c r="B74" s="110" t="s">
        <v>318</v>
      </c>
      <c r="C74" s="65"/>
      <c r="D74" s="65"/>
      <c r="E74" s="65"/>
      <c r="F74" s="65"/>
      <c r="G74" s="116"/>
      <c r="H74" s="112"/>
      <c r="I74" s="65"/>
      <c r="J74" s="112"/>
    </row>
    <row r="75" spans="2:10" ht="15" customHeight="1">
      <c r="B75" s="116" t="s">
        <v>320</v>
      </c>
      <c r="G75" s="115"/>
      <c r="H75" s="113">
        <f>SUM(H45:H48)</f>
        <v>12341600</v>
      </c>
      <c r="I75" s="44"/>
      <c r="J75" s="113">
        <f>SUM(J45:J48)</f>
        <v>53972</v>
      </c>
    </row>
    <row r="76" spans="2:10" ht="15" customHeight="1">
      <c r="B76" s="114" t="s">
        <v>364</v>
      </c>
      <c r="C76" s="44"/>
      <c r="D76" s="44"/>
      <c r="E76" s="44"/>
      <c r="F76" s="44"/>
      <c r="G76" s="115"/>
      <c r="H76" s="113">
        <f>+H73+H75</f>
        <v>97341600</v>
      </c>
      <c r="I76" s="44"/>
      <c r="J76" s="113">
        <f>+J73+J75</f>
        <v>412234</v>
      </c>
    </row>
    <row r="77" ht="6.75" customHeight="1"/>
    <row r="78" ht="15" customHeight="1">
      <c r="B78" s="55" t="s">
        <v>334</v>
      </c>
    </row>
    <row r="79" ht="15" customHeight="1">
      <c r="B79" s="55" t="s">
        <v>335</v>
      </c>
    </row>
    <row r="80" ht="15" customHeight="1">
      <c r="B80" s="55" t="s">
        <v>455</v>
      </c>
    </row>
    <row r="81" ht="15" customHeight="1">
      <c r="B81" s="55" t="s">
        <v>456</v>
      </c>
    </row>
    <row r="82" ht="15" customHeight="1">
      <c r="B82" s="55" t="s">
        <v>457</v>
      </c>
    </row>
    <row r="83" ht="15" customHeight="1">
      <c r="B83" s="55" t="s">
        <v>458</v>
      </c>
    </row>
    <row r="84" ht="15" customHeight="1">
      <c r="B84" s="55" t="s">
        <v>459</v>
      </c>
    </row>
    <row r="85" ht="13.5" customHeight="1"/>
    <row r="86" ht="15" customHeight="1">
      <c r="B86" s="55" t="s">
        <v>365</v>
      </c>
    </row>
    <row r="87" ht="15" customHeight="1">
      <c r="B87" s="55" t="s">
        <v>366</v>
      </c>
    </row>
    <row r="88" ht="15" customHeight="1">
      <c r="B88" s="55" t="s">
        <v>367</v>
      </c>
    </row>
    <row r="89" ht="15" customHeight="1">
      <c r="B89" s="55" t="s">
        <v>368</v>
      </c>
    </row>
    <row r="90" ht="15" customHeight="1">
      <c r="B90" s="55" t="s">
        <v>369</v>
      </c>
    </row>
    <row r="91" ht="15" customHeight="1"/>
    <row r="92" ht="15" customHeight="1">
      <c r="B92" s="55" t="s">
        <v>370</v>
      </c>
    </row>
    <row r="93" ht="15" customHeight="1">
      <c r="B93" s="55" t="s">
        <v>371</v>
      </c>
    </row>
    <row r="94" ht="15" customHeight="1">
      <c r="B94" s="55" t="s">
        <v>372</v>
      </c>
    </row>
    <row r="95" ht="13.5" customHeight="1"/>
    <row r="96" spans="1:2" ht="15" customHeight="1">
      <c r="A96" s="39"/>
      <c r="B96" s="55" t="s">
        <v>373</v>
      </c>
    </row>
    <row r="97" ht="15" customHeight="1">
      <c r="B97" s="55" t="s">
        <v>374</v>
      </c>
    </row>
    <row r="98" ht="15" customHeight="1">
      <c r="B98" s="55" t="s">
        <v>375</v>
      </c>
    </row>
    <row r="99" ht="12" customHeight="1"/>
    <row r="100" spans="2:10" ht="15" customHeight="1">
      <c r="B100" s="55" t="s">
        <v>377</v>
      </c>
      <c r="J100" s="65"/>
    </row>
    <row r="101" spans="2:10" ht="15" customHeight="1">
      <c r="B101" s="55" t="s">
        <v>378</v>
      </c>
      <c r="J101" s="65"/>
    </row>
    <row r="102" spans="2:10" ht="15" customHeight="1">
      <c r="B102" s="55" t="s">
        <v>379</v>
      </c>
      <c r="J102" s="65"/>
    </row>
    <row r="103" ht="6" customHeight="1">
      <c r="J103" s="65"/>
    </row>
    <row r="104" ht="15" customHeight="1">
      <c r="I104" s="52" t="s">
        <v>181</v>
      </c>
    </row>
    <row r="105" spans="8:9" ht="15" customHeight="1">
      <c r="H105" s="52" t="s">
        <v>178</v>
      </c>
      <c r="I105" s="52" t="s">
        <v>177</v>
      </c>
    </row>
    <row r="106" spans="8:10" ht="15" customHeight="1">
      <c r="H106" s="52" t="s">
        <v>172</v>
      </c>
      <c r="I106" s="52" t="s">
        <v>327</v>
      </c>
      <c r="J106" s="52" t="s">
        <v>31</v>
      </c>
    </row>
    <row r="107" spans="8:10" ht="15" customHeight="1">
      <c r="H107" s="52" t="s">
        <v>13</v>
      </c>
      <c r="I107" s="52" t="s">
        <v>13</v>
      </c>
      <c r="J107" s="52" t="s">
        <v>13</v>
      </c>
    </row>
    <row r="108" spans="3:10" ht="15" customHeight="1">
      <c r="C108" s="55" t="s">
        <v>245</v>
      </c>
      <c r="H108" s="39">
        <v>52296</v>
      </c>
      <c r="I108" s="39">
        <v>18394</v>
      </c>
      <c r="J108" s="39">
        <f>+H108+I108</f>
        <v>70690</v>
      </c>
    </row>
    <row r="109" spans="3:10" ht="15" customHeight="1">
      <c r="C109" s="55" t="s">
        <v>179</v>
      </c>
      <c r="H109" s="154">
        <f>-(166900+533500+111105+223250+9704302+375881+232848+193485+158471+49850+8583800+2226168+25487195+6834113+4354532+831694+835415+69772758+323200+163545+240354+17858+137677+960100+22859+1350+10800+550501+1156821+2000+5449+5140117)/1000*0.4632+1</f>
        <v>-64572.73835359999</v>
      </c>
      <c r="I109" s="154">
        <f>-(166900+533500+111105+223250+9704302+375881+232848+193485+158471+49850+8583800+2226168+25487195+6834113+4354532+831694+835415+69772758+323200+163545+240354+17858+137677+960100+22859+1350+10800+550501+1156821+2000+5449+5140117)/1000*0.5368-1</f>
        <v>-74835.1596464</v>
      </c>
      <c r="J109" s="154">
        <f>+H109+I109</f>
        <v>-139407.898</v>
      </c>
    </row>
    <row r="110" spans="3:10" ht="15" customHeight="1">
      <c r="C110" s="55" t="s">
        <v>273</v>
      </c>
      <c r="H110" s="154">
        <v>-637</v>
      </c>
      <c r="I110" s="154">
        <f>-738-1</f>
        <v>-739</v>
      </c>
      <c r="J110" s="154">
        <f>+H110+I110</f>
        <v>-1376</v>
      </c>
    </row>
    <row r="111" spans="3:10" ht="15" customHeight="1">
      <c r="C111" s="55" t="s">
        <v>271</v>
      </c>
      <c r="H111" s="154"/>
      <c r="I111" s="154"/>
      <c r="J111" s="154"/>
    </row>
    <row r="112" spans="3:10" ht="15" customHeight="1">
      <c r="C112" s="55" t="s">
        <v>272</v>
      </c>
      <c r="H112" s="154">
        <f>8390+3884+637</f>
        <v>12911</v>
      </c>
      <c r="I112" s="154">
        <f>9723+4501+738</f>
        <v>14962</v>
      </c>
      <c r="J112" s="154">
        <f>+H112+I112</f>
        <v>27873</v>
      </c>
    </row>
    <row r="113" spans="3:10" ht="15" customHeight="1">
      <c r="C113" s="55" t="s">
        <v>317</v>
      </c>
      <c r="H113" s="154"/>
      <c r="I113" s="154"/>
      <c r="J113" s="154"/>
    </row>
    <row r="114" spans="3:10" ht="15" customHeight="1">
      <c r="C114" s="55" t="s">
        <v>316</v>
      </c>
      <c r="H114" s="154">
        <v>0</v>
      </c>
      <c r="I114" s="154">
        <f>7008-2</f>
        <v>7006</v>
      </c>
      <c r="J114" s="154">
        <f>+H114+I114</f>
        <v>7006</v>
      </c>
    </row>
    <row r="115" spans="3:10" ht="15" customHeight="1">
      <c r="C115" s="4" t="s">
        <v>313</v>
      </c>
      <c r="D115" s="2"/>
      <c r="E115" s="4"/>
      <c r="F115" s="4"/>
      <c r="H115" s="154"/>
      <c r="I115" s="154"/>
      <c r="J115" s="154"/>
    </row>
    <row r="116" spans="3:10" ht="15" customHeight="1">
      <c r="C116" s="4" t="s">
        <v>314</v>
      </c>
      <c r="D116" s="2"/>
      <c r="E116" s="4"/>
      <c r="F116" s="4"/>
      <c r="H116" s="154"/>
      <c r="I116" s="154"/>
      <c r="J116" s="154"/>
    </row>
    <row r="117" spans="3:10" ht="15" customHeight="1">
      <c r="C117" s="4" t="s">
        <v>315</v>
      </c>
      <c r="D117" s="2"/>
      <c r="E117" s="4"/>
      <c r="F117" s="4"/>
      <c r="H117" s="154">
        <v>3</v>
      </c>
      <c r="I117" s="154">
        <f>34892+318+2</f>
        <v>35212</v>
      </c>
      <c r="J117" s="154">
        <f>+H117+I117</f>
        <v>35215</v>
      </c>
    </row>
    <row r="118" spans="3:10" ht="15" customHeight="1" thickBot="1">
      <c r="C118" s="55" t="s">
        <v>376</v>
      </c>
      <c r="D118" s="149"/>
      <c r="H118" s="77">
        <f>ROUND(SUM(H108:H117),0)</f>
        <v>0</v>
      </c>
      <c r="I118" s="77">
        <f>ROUND(SUM(I108:I117),0)</f>
        <v>0</v>
      </c>
      <c r="J118" s="77">
        <f>ROUND(SUM(J108:J117),0)</f>
        <v>0</v>
      </c>
    </row>
    <row r="119" ht="9.75" customHeight="1" thickTop="1"/>
    <row r="120" spans="1:2" ht="15" customHeight="1">
      <c r="A120" s="39"/>
      <c r="B120" s="39"/>
    </row>
    <row r="121" ht="5.25" customHeight="1">
      <c r="J121" s="65"/>
    </row>
    <row r="122" ht="6.75" customHeight="1">
      <c r="J122" s="65"/>
    </row>
    <row r="123" spans="1:4" ht="15" customHeight="1">
      <c r="A123" s="55" t="s">
        <v>47</v>
      </c>
      <c r="B123" s="55" t="s">
        <v>343</v>
      </c>
      <c r="C123" s="55"/>
      <c r="D123" s="55"/>
    </row>
    <row r="124" spans="3:4" ht="6.75" customHeight="1">
      <c r="C124" s="55"/>
      <c r="D124" s="55"/>
    </row>
    <row r="125" spans="2:4" ht="15" customHeight="1">
      <c r="B125" s="55" t="s">
        <v>380</v>
      </c>
      <c r="C125" s="55" t="s">
        <v>340</v>
      </c>
      <c r="D125" s="55"/>
    </row>
    <row r="126" spans="2:4" ht="15" customHeight="1">
      <c r="B126" s="39"/>
      <c r="C126" s="55" t="s">
        <v>341</v>
      </c>
      <c r="D126" s="55"/>
    </row>
    <row r="127" spans="3:4" ht="15" customHeight="1">
      <c r="C127" s="55" t="s">
        <v>342</v>
      </c>
      <c r="D127" s="55"/>
    </row>
    <row r="128" spans="3:4" ht="8.25" customHeight="1">
      <c r="C128" s="55"/>
      <c r="D128" s="55"/>
    </row>
    <row r="129" spans="2:4" ht="15" customHeight="1">
      <c r="B129" s="55" t="s">
        <v>381</v>
      </c>
      <c r="C129" s="55" t="s">
        <v>344</v>
      </c>
      <c r="D129" s="55"/>
    </row>
    <row r="130" spans="2:4" ht="15" customHeight="1">
      <c r="B130" s="39"/>
      <c r="C130" s="55" t="s">
        <v>345</v>
      </c>
      <c r="D130" s="55"/>
    </row>
    <row r="131" spans="3:4" ht="15" customHeight="1">
      <c r="C131" s="146" t="s">
        <v>346</v>
      </c>
      <c r="D131" s="146"/>
    </row>
    <row r="132" spans="3:4" ht="8.25" customHeight="1">
      <c r="C132" s="146"/>
      <c r="D132" s="146"/>
    </row>
    <row r="133" spans="2:4" ht="15" customHeight="1">
      <c r="B133" s="55" t="s">
        <v>382</v>
      </c>
      <c r="C133" s="55" t="s">
        <v>347</v>
      </c>
      <c r="D133" s="55"/>
    </row>
    <row r="134" spans="3:4" ht="15" customHeight="1">
      <c r="C134" s="55" t="s">
        <v>348</v>
      </c>
      <c r="D134" s="55"/>
    </row>
    <row r="135" spans="3:4" ht="15" customHeight="1">
      <c r="C135" s="146" t="s">
        <v>349</v>
      </c>
      <c r="D135" s="146"/>
    </row>
    <row r="136" spans="3:4" ht="9.75" customHeight="1">
      <c r="C136" s="146"/>
      <c r="D136" s="146"/>
    </row>
    <row r="137" spans="1:8" ht="15" customHeight="1">
      <c r="A137" s="55" t="s">
        <v>48</v>
      </c>
      <c r="B137" s="146" t="s">
        <v>383</v>
      </c>
      <c r="C137" s="55"/>
      <c r="D137" s="55"/>
      <c r="H137" s="149"/>
    </row>
    <row r="138" spans="2:4" ht="11.25" customHeight="1">
      <c r="B138" s="57"/>
      <c r="C138" s="57"/>
      <c r="D138" s="57"/>
    </row>
    <row r="139" spans="2:18" ht="15" customHeight="1">
      <c r="B139" s="104" t="s">
        <v>14</v>
      </c>
      <c r="C139" s="55"/>
      <c r="F139" s="70"/>
      <c r="G139" s="70"/>
      <c r="H139" s="71"/>
      <c r="I139" s="167" t="s">
        <v>73</v>
      </c>
      <c r="J139" s="70" t="s">
        <v>74</v>
      </c>
      <c r="K139" s="70" t="s">
        <v>31</v>
      </c>
      <c r="L139" s="61"/>
      <c r="M139" s="61"/>
      <c r="N139" s="61"/>
      <c r="O139" s="61"/>
      <c r="P139" s="61"/>
      <c r="Q139" s="61"/>
      <c r="R139" s="61"/>
    </row>
    <row r="140" spans="3:18" ht="15" customHeight="1">
      <c r="C140" s="55"/>
      <c r="F140" s="70"/>
      <c r="G140" s="70"/>
      <c r="H140" s="71"/>
      <c r="I140" s="88"/>
      <c r="J140" s="70" t="s">
        <v>75</v>
      </c>
      <c r="K140" s="70"/>
      <c r="L140" s="61"/>
      <c r="M140" s="61"/>
      <c r="N140" s="61"/>
      <c r="O140" s="61"/>
      <c r="P140" s="61"/>
      <c r="Q140" s="61"/>
      <c r="R140" s="61"/>
    </row>
    <row r="141" spans="2:18" ht="15" customHeight="1">
      <c r="B141" s="39"/>
      <c r="C141" s="55"/>
      <c r="D141" s="55"/>
      <c r="I141" s="39" t="s">
        <v>13</v>
      </c>
      <c r="J141" s="39" t="s">
        <v>13</v>
      </c>
      <c r="K141" s="39" t="s">
        <v>13</v>
      </c>
      <c r="N141" s="52"/>
      <c r="Q141" s="52"/>
      <c r="R141" s="52"/>
    </row>
    <row r="142" spans="2:18" ht="15" customHeight="1">
      <c r="B142" s="55" t="s">
        <v>140</v>
      </c>
      <c r="C142" s="55"/>
      <c r="D142" s="55"/>
      <c r="I142" s="65">
        <v>2142668</v>
      </c>
      <c r="J142" s="65">
        <v>0</v>
      </c>
      <c r="K142" s="65">
        <f>SUM(I142:J142)</f>
        <v>2142668</v>
      </c>
      <c r="N142" s="52"/>
      <c r="Q142" s="52"/>
      <c r="R142" s="52"/>
    </row>
    <row r="143" spans="2:18" ht="15" customHeight="1">
      <c r="B143" s="55" t="s">
        <v>143</v>
      </c>
      <c r="C143" s="55"/>
      <c r="D143" s="55"/>
      <c r="E143" s="62"/>
      <c r="F143" s="62"/>
      <c r="G143" s="62"/>
      <c r="H143" s="62"/>
      <c r="I143" s="65">
        <v>4050</v>
      </c>
      <c r="J143" s="65">
        <v>5187</v>
      </c>
      <c r="K143" s="65">
        <f>SUM(I143:J143)</f>
        <v>9237</v>
      </c>
      <c r="N143" s="52"/>
      <c r="Q143" s="52"/>
      <c r="R143" s="52"/>
    </row>
    <row r="144" spans="2:18" ht="15" customHeight="1">
      <c r="B144" s="55" t="s">
        <v>144</v>
      </c>
      <c r="C144" s="55"/>
      <c r="D144" s="55"/>
      <c r="E144" s="62"/>
      <c r="F144" s="62"/>
      <c r="G144" s="62"/>
      <c r="H144" s="62"/>
      <c r="I144" s="65">
        <v>0</v>
      </c>
      <c r="J144" s="65">
        <f>-J143-J142</f>
        <v>-5187</v>
      </c>
      <c r="K144" s="65">
        <f>SUM(I144:J144)</f>
        <v>-5187</v>
      </c>
      <c r="N144" s="52"/>
      <c r="Q144" s="52"/>
      <c r="R144" s="52"/>
    </row>
    <row r="145" spans="2:18" ht="15" customHeight="1" thickBot="1">
      <c r="B145" s="63" t="s">
        <v>41</v>
      </c>
      <c r="C145" s="63"/>
      <c r="D145" s="63"/>
      <c r="F145" s="65"/>
      <c r="G145" s="65"/>
      <c r="H145" s="65"/>
      <c r="I145" s="77">
        <f>SUM(I142:I144)</f>
        <v>2146718</v>
      </c>
      <c r="J145" s="77">
        <f>SUM(J142:J144)</f>
        <v>0</v>
      </c>
      <c r="K145" s="77">
        <f>SUM(K142:K144)</f>
        <v>2146718</v>
      </c>
      <c r="N145" s="52"/>
      <c r="Q145" s="52"/>
      <c r="R145" s="52"/>
    </row>
    <row r="146" spans="3:18" ht="6" customHeight="1" thickTop="1">
      <c r="C146" s="55"/>
      <c r="D146" s="55"/>
      <c r="F146" s="65"/>
      <c r="G146" s="65"/>
      <c r="H146" s="65"/>
      <c r="I146" s="65"/>
      <c r="J146" s="65"/>
      <c r="N146" s="52"/>
      <c r="Q146" s="64"/>
      <c r="R146" s="64"/>
    </row>
    <row r="147" spans="2:4" ht="15" customHeight="1">
      <c r="B147" s="104" t="s">
        <v>99</v>
      </c>
      <c r="C147" s="55"/>
      <c r="D147" s="55"/>
    </row>
    <row r="148" spans="2:18" ht="15" customHeight="1">
      <c r="B148" s="55" t="s">
        <v>140</v>
      </c>
      <c r="C148" s="55"/>
      <c r="D148" s="55"/>
      <c r="I148"/>
      <c r="J148"/>
      <c r="K148" s="65">
        <f>420026+698-698</f>
        <v>420026</v>
      </c>
      <c r="N148" s="52"/>
      <c r="Q148" s="52"/>
      <c r="R148" s="52"/>
    </row>
    <row r="149" spans="2:18" ht="15" customHeight="1">
      <c r="B149" s="55" t="s">
        <v>143</v>
      </c>
      <c r="C149" s="55"/>
      <c r="D149" s="55"/>
      <c r="I149"/>
      <c r="J149"/>
      <c r="K149" s="44">
        <f>-2121-10650-2019+698-8564-71</f>
        <v>-22727</v>
      </c>
      <c r="N149" s="52"/>
      <c r="Q149" s="52"/>
      <c r="R149" s="52"/>
    </row>
    <row r="150" spans="3:18" ht="15" customHeight="1">
      <c r="C150" s="55"/>
      <c r="D150" s="55"/>
      <c r="I150" s="144"/>
      <c r="J150" s="144"/>
      <c r="K150" s="65">
        <f>SUM(K148:K149)</f>
        <v>397299</v>
      </c>
      <c r="N150" s="52"/>
      <c r="Q150" s="52"/>
      <c r="R150" s="52"/>
    </row>
    <row r="151" spans="2:18" ht="15" customHeight="1">
      <c r="B151" s="55" t="s">
        <v>67</v>
      </c>
      <c r="C151" s="55"/>
      <c r="D151" s="55"/>
      <c r="F151" s="65"/>
      <c r="G151" s="65"/>
      <c r="H151" s="65"/>
      <c r="I151" s="65"/>
      <c r="J151" s="65"/>
      <c r="K151" s="44">
        <f>-3213-301-225-14-8564+8564</f>
        <v>-3753</v>
      </c>
      <c r="N151" s="52"/>
      <c r="Q151" s="52"/>
      <c r="R151" s="52"/>
    </row>
    <row r="152" spans="2:18" ht="15" customHeight="1">
      <c r="B152" s="63" t="s">
        <v>141</v>
      </c>
      <c r="C152" s="63"/>
      <c r="D152" s="63"/>
      <c r="F152" s="79"/>
      <c r="G152" s="79"/>
      <c r="H152" s="79"/>
      <c r="I152" s="79"/>
      <c r="J152" s="79"/>
      <c r="K152" s="79">
        <f>+K150+K151</f>
        <v>393546</v>
      </c>
      <c r="N152" s="52"/>
      <c r="Q152" s="52"/>
      <c r="R152" s="52"/>
    </row>
    <row r="153" spans="2:18" ht="15" customHeight="1">
      <c r="B153" s="55" t="s">
        <v>15</v>
      </c>
      <c r="C153" s="55"/>
      <c r="D153" s="55"/>
      <c r="F153" s="65"/>
      <c r="G153" s="65"/>
      <c r="H153" s="65"/>
      <c r="I153" s="65"/>
      <c r="J153" s="65"/>
      <c r="K153" s="65">
        <f>+PL!H18</f>
        <v>-10627</v>
      </c>
      <c r="N153" s="66"/>
      <c r="Q153" s="64"/>
      <c r="R153" s="64"/>
    </row>
    <row r="154" spans="2:18" ht="15" customHeight="1">
      <c r="B154" s="55" t="s">
        <v>37</v>
      </c>
      <c r="C154" s="55"/>
      <c r="D154" s="55"/>
      <c r="F154" s="65"/>
      <c r="G154" s="65"/>
      <c r="H154" s="65"/>
      <c r="I154" s="65"/>
      <c r="J154" s="65"/>
      <c r="K154" s="65">
        <v>36085</v>
      </c>
      <c r="N154" s="52"/>
      <c r="Q154" s="52"/>
      <c r="R154" s="52"/>
    </row>
    <row r="155" spans="2:18" ht="15" customHeight="1">
      <c r="B155" s="55" t="s">
        <v>230</v>
      </c>
      <c r="C155" s="55"/>
      <c r="D155" s="55"/>
      <c r="F155" s="65"/>
      <c r="G155" s="65"/>
      <c r="H155" s="65"/>
      <c r="I155" s="65"/>
      <c r="J155" s="65"/>
      <c r="K155" s="65">
        <f>+PL!H16-K154</f>
        <v>24279</v>
      </c>
      <c r="N155" s="52"/>
      <c r="Q155" s="52"/>
      <c r="R155" s="52"/>
    </row>
    <row r="156" spans="2:18" ht="15" customHeight="1">
      <c r="B156" s="55" t="s">
        <v>226</v>
      </c>
      <c r="C156" s="55"/>
      <c r="D156" s="55"/>
      <c r="F156" s="65"/>
      <c r="G156" s="65"/>
      <c r="H156" s="65"/>
      <c r="I156" s="65"/>
      <c r="J156" s="65"/>
      <c r="K156" s="65">
        <f>+PL!H17</f>
        <v>-5689</v>
      </c>
      <c r="N156" s="52"/>
      <c r="Q156" s="52"/>
      <c r="R156" s="52"/>
    </row>
    <row r="157" spans="2:18" ht="15" customHeight="1">
      <c r="B157" s="55" t="s">
        <v>227</v>
      </c>
      <c r="C157" s="55"/>
      <c r="D157" s="55"/>
      <c r="F157" s="65"/>
      <c r="G157" s="65"/>
      <c r="H157" s="65"/>
      <c r="I157" s="65"/>
      <c r="J157" s="65"/>
      <c r="K157" s="44">
        <f>PL!H19</f>
        <v>30</v>
      </c>
      <c r="N157" s="52"/>
      <c r="Q157" s="52"/>
      <c r="R157" s="52"/>
    </row>
    <row r="158" spans="2:18" ht="15" customHeight="1">
      <c r="B158" s="55" t="s">
        <v>95</v>
      </c>
      <c r="C158" s="55"/>
      <c r="D158" s="55"/>
      <c r="F158" s="65"/>
      <c r="G158" s="65"/>
      <c r="H158" s="65"/>
      <c r="I158" s="65"/>
      <c r="J158" s="65"/>
      <c r="K158" s="39">
        <f>SUM(K152:K157)</f>
        <v>437624</v>
      </c>
      <c r="N158" s="52"/>
      <c r="Q158" s="52"/>
      <c r="R158" s="52"/>
    </row>
    <row r="159" spans="2:18" ht="15" customHeight="1">
      <c r="B159" s="55" t="s">
        <v>231</v>
      </c>
      <c r="C159" s="55"/>
      <c r="D159" s="55"/>
      <c r="F159" s="65"/>
      <c r="G159" s="65"/>
      <c r="H159" s="65"/>
      <c r="I159" s="65"/>
      <c r="J159" s="65"/>
      <c r="K159" s="166">
        <f>+PL!H23</f>
        <v>-129341</v>
      </c>
      <c r="N159" s="52"/>
      <c r="Q159" s="52"/>
      <c r="R159" s="52"/>
    </row>
    <row r="160" spans="2:18" ht="15" customHeight="1" thickBot="1">
      <c r="B160" s="55" t="s">
        <v>147</v>
      </c>
      <c r="C160" s="55"/>
      <c r="D160" s="55"/>
      <c r="F160" s="65"/>
      <c r="G160" s="65"/>
      <c r="H160" s="65"/>
      <c r="I160" s="65"/>
      <c r="J160" s="65"/>
      <c r="K160" s="150">
        <f>+K158+K159</f>
        <v>308283</v>
      </c>
      <c r="N160" s="66"/>
      <c r="Q160" s="64"/>
      <c r="R160" s="64"/>
    </row>
    <row r="161" spans="2:18" ht="11.25" customHeight="1">
      <c r="B161" s="91"/>
      <c r="J161" s="65"/>
      <c r="N161" s="52"/>
      <c r="Q161" s="52"/>
      <c r="R161" s="52"/>
    </row>
    <row r="162" spans="1:4" ht="15" customHeight="1">
      <c r="A162" s="55" t="s">
        <v>49</v>
      </c>
      <c r="B162" s="55" t="s">
        <v>148</v>
      </c>
      <c r="C162" s="55"/>
      <c r="D162" s="55"/>
    </row>
    <row r="163" spans="1:4" ht="15" customHeight="1">
      <c r="A163" s="56"/>
      <c r="B163" s="55" t="s">
        <v>246</v>
      </c>
      <c r="C163" s="55"/>
      <c r="D163" s="55"/>
    </row>
    <row r="164" spans="2:4" ht="10.5" customHeight="1">
      <c r="B164" s="39"/>
      <c r="D164" s="55"/>
    </row>
    <row r="165" spans="1:4" ht="15" customHeight="1">
      <c r="A165" s="55" t="s">
        <v>50</v>
      </c>
      <c r="B165" s="55" t="s">
        <v>461</v>
      </c>
      <c r="C165" s="55"/>
      <c r="D165" s="55"/>
    </row>
    <row r="166" spans="2:4" ht="15" customHeight="1">
      <c r="B166" s="55" t="s">
        <v>462</v>
      </c>
      <c r="C166" s="57"/>
      <c r="D166" s="57"/>
    </row>
    <row r="167" spans="2:4" ht="15" customHeight="1">
      <c r="B167" s="55" t="s">
        <v>463</v>
      </c>
      <c r="C167" s="57"/>
      <c r="D167" s="57"/>
    </row>
    <row r="168" spans="1:4" ht="12" customHeight="1">
      <c r="A168" s="39"/>
      <c r="B168" s="39"/>
      <c r="C168" s="55"/>
      <c r="D168" s="55"/>
    </row>
    <row r="169" spans="1:4" ht="15" customHeight="1">
      <c r="A169" s="146" t="s">
        <v>51</v>
      </c>
      <c r="B169" s="55" t="s">
        <v>384</v>
      </c>
      <c r="C169" s="55"/>
      <c r="D169" s="55"/>
    </row>
    <row r="170" spans="2:4" ht="15" customHeight="1">
      <c r="B170" s="55" t="s">
        <v>221</v>
      </c>
      <c r="C170" s="57"/>
      <c r="D170" s="57"/>
    </row>
    <row r="171" ht="15" customHeight="1">
      <c r="B171" s="55" t="s">
        <v>247</v>
      </c>
    </row>
    <row r="172" ht="15" customHeight="1">
      <c r="B172" s="55" t="s">
        <v>282</v>
      </c>
    </row>
    <row r="173" spans="1:4" ht="15">
      <c r="A173" s="56"/>
      <c r="B173" s="55" t="s">
        <v>248</v>
      </c>
      <c r="C173" s="55"/>
      <c r="D173" s="55"/>
    </row>
    <row r="174" spans="1:4" ht="10.5" customHeight="1">
      <c r="A174" s="56"/>
      <c r="C174" s="55"/>
      <c r="D174" s="55"/>
    </row>
    <row r="175" spans="1:4" ht="15">
      <c r="A175" s="146" t="s">
        <v>52</v>
      </c>
      <c r="B175" s="55" t="s">
        <v>328</v>
      </c>
      <c r="C175" s="55"/>
      <c r="D175" s="55"/>
    </row>
    <row r="176" spans="2:4" ht="15">
      <c r="B176" s="55" t="s">
        <v>329</v>
      </c>
      <c r="C176" s="55"/>
      <c r="D176" s="55"/>
    </row>
    <row r="177" spans="2:4" ht="15" customHeight="1">
      <c r="B177" s="55" t="s">
        <v>330</v>
      </c>
      <c r="C177" s="55"/>
      <c r="D177" s="55"/>
    </row>
    <row r="178" spans="2:11" ht="16.5" customHeight="1">
      <c r="B178" s="55" t="s">
        <v>331</v>
      </c>
      <c r="C178" s="55"/>
      <c r="E178" s="55"/>
      <c r="J178" s="52"/>
      <c r="K178" s="52"/>
    </row>
    <row r="179" spans="3:4" ht="15">
      <c r="C179" s="55"/>
      <c r="D179" s="55"/>
    </row>
    <row r="180" spans="3:4" ht="15">
      <c r="C180" s="55"/>
      <c r="D180" s="55"/>
    </row>
    <row r="181" spans="3:4" ht="15">
      <c r="C181" s="55"/>
      <c r="D181" s="55"/>
    </row>
    <row r="187" spans="3:19" ht="15">
      <c r="C187" s="55"/>
      <c r="D187" s="55"/>
      <c r="S187" s="52"/>
    </row>
    <row r="188" spans="3:14" ht="15">
      <c r="C188" s="55"/>
      <c r="D188" s="55"/>
      <c r="N188" s="52"/>
    </row>
    <row r="189" spans="3:19" ht="15">
      <c r="C189" s="55"/>
      <c r="D189" s="55"/>
      <c r="O189" s="52"/>
      <c r="S189" s="52"/>
    </row>
    <row r="191" spans="3:19" ht="15">
      <c r="C191" s="55"/>
      <c r="D191" s="55"/>
      <c r="S191" s="52"/>
    </row>
    <row r="194" spans="3:4" ht="15">
      <c r="C194" s="55"/>
      <c r="D194" s="55"/>
    </row>
    <row r="195" spans="3:12" ht="15">
      <c r="C195" s="55"/>
      <c r="D195" s="55"/>
      <c r="L195" s="52"/>
    </row>
    <row r="198" spans="3:4" ht="15">
      <c r="C198" s="55"/>
      <c r="D198" s="55"/>
    </row>
  </sheetData>
  <mergeCells count="7">
    <mergeCell ref="I66:J66"/>
    <mergeCell ref="I67:J67"/>
    <mergeCell ref="G67:H67"/>
    <mergeCell ref="D40:F40"/>
    <mergeCell ref="G41:H41"/>
    <mergeCell ref="I41:J41"/>
    <mergeCell ref="I40:J40"/>
  </mergeCells>
  <printOptions/>
  <pageMargins left="0.59" right="0.14" top="0.73" bottom="0.31" header="0.33" footer="0.25"/>
  <pageSetup firstPageNumber="5" useFirstPageNumber="1"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31-1-2006</oddHeader>
    <oddFooter>&amp;R&amp;"Arial,Bold"   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2"/>
  <sheetViews>
    <sheetView showGridLines="0" tabSelected="1" workbookViewId="0" topLeftCell="A1">
      <selection activeCell="B10" sqref="B10"/>
    </sheetView>
  </sheetViews>
  <sheetFormatPr defaultColWidth="9.140625" defaultRowHeight="12.75"/>
  <cols>
    <col min="1" max="1" width="4.421875" style="2" customWidth="1"/>
    <col min="2" max="2" width="3.28125" style="2" customWidth="1"/>
    <col min="3" max="3" width="8.421875" style="2" customWidth="1"/>
    <col min="4" max="4" width="10.28125" style="2" customWidth="1"/>
    <col min="5" max="5" width="9.57421875" style="2" customWidth="1"/>
    <col min="6" max="6" width="12.28125" style="2" customWidth="1"/>
    <col min="7" max="7" width="10.8515625" style="2" customWidth="1"/>
    <col min="8" max="8" width="10.140625" style="67" customWidth="1"/>
    <col min="9" max="9" width="11.7109375" style="67" customWidth="1"/>
    <col min="10" max="10" width="9.57421875" style="67" customWidth="1"/>
    <col min="11" max="11" width="7.140625" style="2" customWidth="1"/>
    <col min="12" max="12" width="2.8515625" style="2" customWidth="1"/>
    <col min="13" max="13" width="16.421875" style="2" customWidth="1"/>
    <col min="14" max="14" width="6.00390625" style="2" customWidth="1"/>
    <col min="15" max="15" width="6.140625" style="2" customWidth="1"/>
    <col min="16" max="16" width="5.57421875" style="2" customWidth="1"/>
    <col min="17" max="16384" width="9.140625" style="2" customWidth="1"/>
  </cols>
  <sheetData>
    <row r="1" spans="2:9" ht="15">
      <c r="B1" s="54"/>
      <c r="C1" s="54"/>
      <c r="D1" s="54"/>
      <c r="E1" s="39"/>
      <c r="F1" s="39"/>
      <c r="G1" s="39"/>
      <c r="H1" s="72"/>
      <c r="I1" s="72"/>
    </row>
    <row r="2" spans="2:9" ht="9.75" customHeight="1">
      <c r="B2" s="54"/>
      <c r="C2" s="54"/>
      <c r="D2" s="54"/>
      <c r="E2" s="39"/>
      <c r="F2" s="39"/>
      <c r="G2" s="39"/>
      <c r="H2" s="72"/>
      <c r="I2" s="72"/>
    </row>
    <row r="3" spans="1:9" ht="15">
      <c r="A3" s="5" t="str">
        <f>PL!A5</f>
        <v>UNAUDITED QUARTERLY FINANCIAL REPORT FOR THE PERIOD ENDED 31 JANUARY 2006</v>
      </c>
      <c r="B3" s="54"/>
      <c r="C3" s="54"/>
      <c r="D3" s="54"/>
      <c r="E3" s="39"/>
      <c r="F3" s="39"/>
      <c r="G3" s="39"/>
      <c r="H3" s="72"/>
      <c r="I3" s="72"/>
    </row>
    <row r="4" spans="1:9" ht="15">
      <c r="A4" s="53" t="s">
        <v>222</v>
      </c>
      <c r="B4" s="54"/>
      <c r="C4" s="54"/>
      <c r="D4" s="54"/>
      <c r="E4" s="39"/>
      <c r="F4" s="39"/>
      <c r="G4" s="39"/>
      <c r="H4" s="72"/>
      <c r="I4" s="72"/>
    </row>
    <row r="5" spans="1:9" ht="15">
      <c r="A5" s="53" t="s">
        <v>223</v>
      </c>
      <c r="B5" s="54"/>
      <c r="C5" s="54"/>
      <c r="D5" s="54"/>
      <c r="E5" s="39"/>
      <c r="F5" s="39"/>
      <c r="G5" s="39"/>
      <c r="H5" s="72"/>
      <c r="I5" s="72"/>
    </row>
    <row r="6" spans="1:9" ht="12" customHeight="1">
      <c r="A6" s="55"/>
      <c r="B6" s="55"/>
      <c r="C6" s="55"/>
      <c r="D6" s="55"/>
      <c r="E6" s="39"/>
      <c r="F6" s="39"/>
      <c r="G6" s="39"/>
      <c r="H6" s="72"/>
      <c r="I6" s="72"/>
    </row>
    <row r="7" spans="1:9" ht="15">
      <c r="A7" s="55" t="s">
        <v>53</v>
      </c>
      <c r="B7" s="55" t="s">
        <v>401</v>
      </c>
      <c r="C7" s="55"/>
      <c r="D7" s="55"/>
      <c r="E7" s="39"/>
      <c r="F7" s="39"/>
      <c r="G7" s="39"/>
      <c r="H7" s="72"/>
      <c r="I7" s="72"/>
    </row>
    <row r="8" spans="1:10" ht="15">
      <c r="A8" s="55"/>
      <c r="B8" s="2" t="s">
        <v>431</v>
      </c>
      <c r="F8" s="39"/>
      <c r="G8" s="39"/>
      <c r="H8" s="175"/>
      <c r="I8" s="175"/>
      <c r="J8" s="73"/>
    </row>
    <row r="9" spans="1:10" ht="15">
      <c r="A9" s="55"/>
      <c r="B9" s="2" t="s">
        <v>483</v>
      </c>
      <c r="F9" s="39"/>
      <c r="G9" s="39"/>
      <c r="H9" s="175"/>
      <c r="I9" s="175"/>
      <c r="J9" s="73"/>
    </row>
    <row r="10" spans="1:10" ht="15">
      <c r="A10" s="55"/>
      <c r="B10" s="2" t="s">
        <v>487</v>
      </c>
      <c r="F10" s="39"/>
      <c r="G10" s="39"/>
      <c r="H10" s="175"/>
      <c r="I10" s="175"/>
      <c r="J10" s="73"/>
    </row>
    <row r="11" spans="1:10" ht="15">
      <c r="A11" s="55"/>
      <c r="B11" s="2" t="s">
        <v>484</v>
      </c>
      <c r="F11" s="39"/>
      <c r="G11" s="39"/>
      <c r="H11" s="175"/>
      <c r="I11" s="175"/>
      <c r="J11" s="73"/>
    </row>
    <row r="12" spans="1:10" ht="15">
      <c r="A12" s="55"/>
      <c r="B12" s="2" t="s">
        <v>485</v>
      </c>
      <c r="F12" s="39"/>
      <c r="G12" s="39"/>
      <c r="H12" s="175"/>
      <c r="I12" s="175"/>
      <c r="J12" s="73"/>
    </row>
    <row r="13" spans="1:10" ht="15">
      <c r="A13" s="55"/>
      <c r="F13" s="39"/>
      <c r="G13" s="39"/>
      <c r="H13" s="175"/>
      <c r="I13" s="175"/>
      <c r="J13" s="73"/>
    </row>
    <row r="14" spans="1:10" ht="15">
      <c r="A14" s="55"/>
      <c r="B14" s="2" t="s">
        <v>402</v>
      </c>
      <c r="F14" s="39"/>
      <c r="G14" s="39"/>
      <c r="H14" s="175"/>
      <c r="I14" s="175"/>
      <c r="J14" s="73"/>
    </row>
    <row r="15" spans="1:10" ht="15" customHeight="1">
      <c r="A15" s="55"/>
      <c r="B15" s="2" t="s">
        <v>403</v>
      </c>
      <c r="F15" s="39"/>
      <c r="G15" s="39"/>
      <c r="H15" s="175"/>
      <c r="I15" s="175"/>
      <c r="J15" s="73"/>
    </row>
    <row r="16" spans="1:10" ht="15">
      <c r="A16" s="55"/>
      <c r="B16" s="2" t="s">
        <v>432</v>
      </c>
      <c r="F16" s="39"/>
      <c r="G16" s="39"/>
      <c r="H16" s="175"/>
      <c r="I16" s="175"/>
      <c r="J16" s="73"/>
    </row>
    <row r="17" spans="1:10" ht="15">
      <c r="A17" s="55"/>
      <c r="B17" s="2" t="s">
        <v>404</v>
      </c>
      <c r="F17" s="39"/>
      <c r="G17" s="39"/>
      <c r="H17" s="175"/>
      <c r="I17" s="175"/>
      <c r="J17" s="73"/>
    </row>
    <row r="18" spans="1:10" ht="15">
      <c r="A18" s="55"/>
      <c r="B18" s="2" t="s">
        <v>433</v>
      </c>
      <c r="F18" s="39"/>
      <c r="G18" s="39"/>
      <c r="H18" s="175"/>
      <c r="I18" s="175"/>
      <c r="J18" s="73"/>
    </row>
    <row r="19" spans="1:10" ht="15">
      <c r="A19" s="55"/>
      <c r="B19" s="2" t="s">
        <v>434</v>
      </c>
      <c r="F19" s="39"/>
      <c r="G19" s="39"/>
      <c r="H19" s="175"/>
      <c r="I19" s="175"/>
      <c r="J19" s="73"/>
    </row>
    <row r="20" spans="1:10" ht="15">
      <c r="A20" s="55"/>
      <c r="F20" s="39"/>
      <c r="G20" s="39"/>
      <c r="H20" s="175"/>
      <c r="I20" s="175"/>
      <c r="J20" s="73"/>
    </row>
    <row r="21" spans="1:10" ht="15">
      <c r="A21" s="55"/>
      <c r="B21" s="2" t="s">
        <v>405</v>
      </c>
      <c r="F21" s="39"/>
      <c r="G21" s="39"/>
      <c r="H21" s="175"/>
      <c r="I21" s="175"/>
      <c r="J21" s="73"/>
    </row>
    <row r="22" spans="1:10" ht="15">
      <c r="A22" s="55"/>
      <c r="B22" s="2" t="s">
        <v>406</v>
      </c>
      <c r="F22" s="39"/>
      <c r="G22" s="39"/>
      <c r="H22" s="175"/>
      <c r="I22" s="175"/>
      <c r="J22" s="73"/>
    </row>
    <row r="23" spans="1:10" ht="15">
      <c r="A23" s="55"/>
      <c r="B23" s="2" t="s">
        <v>407</v>
      </c>
      <c r="F23" s="39"/>
      <c r="G23" s="39"/>
      <c r="H23" s="175"/>
      <c r="I23" s="175"/>
      <c r="J23" s="73"/>
    </row>
    <row r="24" spans="1:10" ht="15">
      <c r="A24" s="55"/>
      <c r="B24" s="2" t="s">
        <v>408</v>
      </c>
      <c r="F24" s="39"/>
      <c r="G24" s="39"/>
      <c r="H24" s="175"/>
      <c r="I24" s="175"/>
      <c r="J24" s="73"/>
    </row>
    <row r="25" spans="1:10" ht="15">
      <c r="A25" s="55"/>
      <c r="B25" s="2" t="s">
        <v>435</v>
      </c>
      <c r="F25" s="39"/>
      <c r="G25" s="39"/>
      <c r="H25" s="175"/>
      <c r="I25" s="175"/>
      <c r="J25" s="73"/>
    </row>
    <row r="26" spans="1:10" ht="15">
      <c r="A26" s="55"/>
      <c r="F26" s="39"/>
      <c r="G26" s="39"/>
      <c r="H26" s="175"/>
      <c r="I26" s="175"/>
      <c r="J26" s="73"/>
    </row>
    <row r="27" spans="1:10" ht="15">
      <c r="A27" s="55"/>
      <c r="B27" s="2" t="s">
        <v>409</v>
      </c>
      <c r="F27" s="39"/>
      <c r="G27" s="39"/>
      <c r="H27" s="175"/>
      <c r="I27" s="175"/>
      <c r="J27" s="73"/>
    </row>
    <row r="28" spans="1:10" ht="15">
      <c r="A28" s="55"/>
      <c r="B28" s="2" t="s">
        <v>410</v>
      </c>
      <c r="F28" s="39"/>
      <c r="G28" s="39"/>
      <c r="H28" s="175"/>
      <c r="I28" s="175"/>
      <c r="J28" s="73"/>
    </row>
    <row r="29" spans="1:10" ht="15">
      <c r="A29" s="55"/>
      <c r="B29" s="2" t="s">
        <v>436</v>
      </c>
      <c r="F29" s="39"/>
      <c r="G29" s="39"/>
      <c r="H29" s="175"/>
      <c r="I29" s="175"/>
      <c r="J29" s="73"/>
    </row>
    <row r="30" spans="1:10" ht="15">
      <c r="A30" s="55"/>
      <c r="B30" s="2" t="s">
        <v>437</v>
      </c>
      <c r="F30" s="39"/>
      <c r="G30" s="39"/>
      <c r="H30" s="175"/>
      <c r="I30" s="175"/>
      <c r="J30" s="73"/>
    </row>
    <row r="31" spans="1:10" ht="15">
      <c r="A31" s="55"/>
      <c r="B31" s="2" t="s">
        <v>438</v>
      </c>
      <c r="F31" s="39"/>
      <c r="G31" s="39"/>
      <c r="H31" s="175"/>
      <c r="I31" s="175"/>
      <c r="J31" s="73"/>
    </row>
    <row r="32" spans="1:10" ht="15">
      <c r="A32" s="55"/>
      <c r="B32" s="2" t="s">
        <v>439</v>
      </c>
      <c r="F32" s="39"/>
      <c r="G32" s="39"/>
      <c r="H32" s="175"/>
      <c r="I32" s="175"/>
      <c r="J32" s="73"/>
    </row>
    <row r="33" spans="1:10" ht="15">
      <c r="A33" s="55"/>
      <c r="F33" s="39"/>
      <c r="G33" s="39"/>
      <c r="H33" s="175"/>
      <c r="I33" s="175"/>
      <c r="J33" s="73"/>
    </row>
    <row r="34" spans="1:9" ht="15">
      <c r="A34" s="55" t="s">
        <v>54</v>
      </c>
      <c r="B34" s="55" t="s">
        <v>411</v>
      </c>
      <c r="C34" s="55"/>
      <c r="D34" s="55"/>
      <c r="E34" s="39"/>
      <c r="F34" s="39"/>
      <c r="G34" s="39"/>
      <c r="H34" s="72"/>
      <c r="I34" s="72"/>
    </row>
    <row r="35" spans="1:9" ht="15">
      <c r="A35" s="55"/>
      <c r="B35" s="55" t="s">
        <v>472</v>
      </c>
      <c r="C35" s="55"/>
      <c r="D35" s="55"/>
      <c r="E35" s="39"/>
      <c r="F35" s="39"/>
      <c r="G35" s="39"/>
      <c r="H35" s="160"/>
      <c r="I35" s="72"/>
    </row>
    <row r="36" spans="1:9" ht="15">
      <c r="A36" s="55"/>
      <c r="B36" s="55"/>
      <c r="C36" s="55"/>
      <c r="D36" s="55"/>
      <c r="E36" s="39"/>
      <c r="F36" s="39"/>
      <c r="G36" s="39"/>
      <c r="H36" s="160"/>
      <c r="I36" s="72"/>
    </row>
    <row r="37" spans="1:9" ht="15">
      <c r="A37" s="55"/>
      <c r="B37" s="55" t="s">
        <v>412</v>
      </c>
      <c r="C37" s="55"/>
      <c r="D37" s="55"/>
      <c r="E37" s="39"/>
      <c r="F37" s="39"/>
      <c r="G37" s="39"/>
      <c r="H37" s="160"/>
      <c r="I37" s="72"/>
    </row>
    <row r="38" spans="1:9" ht="15">
      <c r="A38" s="55"/>
      <c r="B38" s="55" t="s">
        <v>440</v>
      </c>
      <c r="C38" s="55"/>
      <c r="D38" s="55"/>
      <c r="E38" s="39"/>
      <c r="F38" s="39"/>
      <c r="G38" s="39"/>
      <c r="H38" s="160"/>
      <c r="I38" s="72"/>
    </row>
    <row r="39" spans="1:9" ht="15">
      <c r="A39" s="55"/>
      <c r="B39" s="55" t="s">
        <v>441</v>
      </c>
      <c r="C39" s="55"/>
      <c r="D39" s="55"/>
      <c r="E39" s="39"/>
      <c r="F39" s="39"/>
      <c r="G39" s="39"/>
      <c r="H39" s="160"/>
      <c r="I39" s="72"/>
    </row>
    <row r="40" spans="1:20" ht="15" customHeight="1">
      <c r="A40" s="55"/>
      <c r="B40" s="55" t="s">
        <v>442</v>
      </c>
      <c r="C40" s="55"/>
      <c r="D40" s="55"/>
      <c r="E40" s="39"/>
      <c r="F40" s="39"/>
      <c r="G40" s="39"/>
      <c r="H40" s="160"/>
      <c r="I40" s="72"/>
      <c r="L40" s="55"/>
      <c r="M40" s="55"/>
      <c r="N40" s="55"/>
      <c r="O40" s="39"/>
      <c r="P40" s="39"/>
      <c r="Q40" s="39"/>
      <c r="R40" s="160"/>
      <c r="S40" s="72"/>
      <c r="T40" s="67"/>
    </row>
    <row r="41" spans="1:20" ht="15">
      <c r="A41" s="55"/>
      <c r="B41" s="55" t="s">
        <v>413</v>
      </c>
      <c r="C41" s="55"/>
      <c r="D41" s="55"/>
      <c r="E41" s="39"/>
      <c r="F41" s="39"/>
      <c r="G41" s="39"/>
      <c r="H41" s="160"/>
      <c r="I41" s="72"/>
      <c r="L41" s="55"/>
      <c r="M41" s="55"/>
      <c r="N41" s="55"/>
      <c r="O41" s="39"/>
      <c r="P41" s="39"/>
      <c r="Q41" s="39"/>
      <c r="R41" s="160"/>
      <c r="S41" s="72"/>
      <c r="T41" s="67"/>
    </row>
    <row r="42" spans="1:20" ht="15">
      <c r="A42" s="55"/>
      <c r="B42" s="55"/>
      <c r="C42" s="55"/>
      <c r="D42" s="55"/>
      <c r="E42" s="39"/>
      <c r="F42" s="39"/>
      <c r="G42" s="39"/>
      <c r="H42" s="72"/>
      <c r="I42" s="72"/>
      <c r="L42" s="55"/>
      <c r="M42" s="55"/>
      <c r="N42" s="55"/>
      <c r="O42" s="39"/>
      <c r="P42" s="39"/>
      <c r="Q42" s="39"/>
      <c r="R42" s="72"/>
      <c r="S42" s="72"/>
      <c r="T42" s="67"/>
    </row>
    <row r="43" spans="1:9" ht="15">
      <c r="A43" s="55" t="s">
        <v>55</v>
      </c>
      <c r="B43" s="55" t="s">
        <v>469</v>
      </c>
      <c r="C43" s="55"/>
      <c r="D43" s="55"/>
      <c r="E43" s="39"/>
      <c r="F43" s="39"/>
      <c r="G43" s="39"/>
      <c r="H43" s="72"/>
      <c r="I43" s="72"/>
    </row>
    <row r="44" spans="1:9" ht="15">
      <c r="A44" s="55"/>
      <c r="B44" s="55" t="s">
        <v>470</v>
      </c>
      <c r="C44" s="55"/>
      <c r="D44" s="55"/>
      <c r="E44" s="39"/>
      <c r="F44" s="39"/>
      <c r="G44" s="39"/>
      <c r="H44" s="72"/>
      <c r="I44" s="72"/>
    </row>
    <row r="45" spans="1:9" ht="15">
      <c r="A45" s="55"/>
      <c r="B45" s="55" t="s">
        <v>471</v>
      </c>
      <c r="C45" s="55"/>
      <c r="D45" s="55"/>
      <c r="E45" s="39"/>
      <c r="F45" s="39"/>
      <c r="G45" s="39"/>
      <c r="H45" s="72"/>
      <c r="I45" s="72"/>
    </row>
    <row r="46" spans="1:9" ht="15">
      <c r="A46" s="55"/>
      <c r="B46" s="55"/>
      <c r="C46" s="55"/>
      <c r="D46" s="55"/>
      <c r="E46" s="39"/>
      <c r="F46" s="39"/>
      <c r="G46" s="39"/>
      <c r="H46" s="72"/>
      <c r="I46" s="72"/>
    </row>
    <row r="47" spans="1:9" ht="15">
      <c r="A47" s="56" t="s">
        <v>57</v>
      </c>
      <c r="B47" s="55" t="s">
        <v>249</v>
      </c>
      <c r="C47" s="55"/>
      <c r="D47" s="39"/>
      <c r="E47" s="39"/>
      <c r="F47" s="39"/>
      <c r="G47" s="39"/>
      <c r="H47" s="72"/>
      <c r="I47" s="72"/>
    </row>
    <row r="48" spans="1:9" ht="15">
      <c r="A48" s="56"/>
      <c r="B48" s="55"/>
      <c r="C48" s="55"/>
      <c r="D48" s="39"/>
      <c r="E48" s="39"/>
      <c r="F48" s="39"/>
      <c r="G48" s="39"/>
      <c r="H48" s="72"/>
      <c r="I48" s="72"/>
    </row>
    <row r="49" spans="1:9" ht="15">
      <c r="A49" s="56"/>
      <c r="B49" s="55"/>
      <c r="C49" s="55"/>
      <c r="D49" s="39"/>
      <c r="E49" s="39"/>
      <c r="F49" s="39"/>
      <c r="G49" s="39"/>
      <c r="H49" s="72"/>
      <c r="I49" s="72"/>
    </row>
    <row r="50" spans="1:9" ht="15">
      <c r="A50" s="56"/>
      <c r="B50" s="55"/>
      <c r="C50" s="55"/>
      <c r="D50" s="39"/>
      <c r="E50" s="39"/>
      <c r="F50" s="39"/>
      <c r="G50" s="39"/>
      <c r="H50" s="72"/>
      <c r="I50" s="72"/>
    </row>
    <row r="51" spans="1:9" ht="15">
      <c r="A51" s="56"/>
      <c r="B51" s="55"/>
      <c r="C51" s="55"/>
      <c r="D51" s="39"/>
      <c r="E51" s="39"/>
      <c r="F51" s="39"/>
      <c r="G51" s="39"/>
      <c r="H51" s="72"/>
      <c r="I51" s="72"/>
    </row>
    <row r="52" spans="1:9" ht="15">
      <c r="A52" s="56"/>
      <c r="B52" s="55"/>
      <c r="C52" s="55"/>
      <c r="D52" s="39"/>
      <c r="E52" s="39"/>
      <c r="F52" s="39"/>
      <c r="G52" s="39"/>
      <c r="H52" s="72"/>
      <c r="I52" s="72"/>
    </row>
    <row r="53" spans="1:9" ht="15">
      <c r="A53" s="56"/>
      <c r="B53" s="55"/>
      <c r="C53" s="55"/>
      <c r="D53" s="39"/>
      <c r="E53" s="39"/>
      <c r="F53" s="39"/>
      <c r="G53" s="39"/>
      <c r="H53" s="72"/>
      <c r="I53" s="72"/>
    </row>
    <row r="54" spans="1:9" ht="9.75" customHeight="1">
      <c r="A54" s="56"/>
      <c r="B54" s="55"/>
      <c r="C54" s="55"/>
      <c r="D54" s="39"/>
      <c r="E54" s="39"/>
      <c r="F54" s="39"/>
      <c r="G54" s="39"/>
      <c r="H54" s="72"/>
      <c r="I54" s="72"/>
    </row>
    <row r="55" spans="1:2" ht="15" customHeight="1">
      <c r="A55" s="2" t="s">
        <v>58</v>
      </c>
      <c r="B55" s="2" t="s">
        <v>25</v>
      </c>
    </row>
    <row r="56" spans="7:9" ht="15" customHeight="1">
      <c r="G56" s="59" t="s">
        <v>300</v>
      </c>
      <c r="H56" s="2"/>
      <c r="I56" s="27" t="s">
        <v>250</v>
      </c>
    </row>
    <row r="57" spans="2:9" ht="14.25" customHeight="1">
      <c r="B57" s="4"/>
      <c r="C57" s="4"/>
      <c r="D57" s="4"/>
      <c r="E57" s="4"/>
      <c r="F57" s="4"/>
      <c r="G57" s="59" t="s">
        <v>301</v>
      </c>
      <c r="H57" s="2"/>
      <c r="I57" s="152" t="s">
        <v>385</v>
      </c>
    </row>
    <row r="58" spans="2:9" ht="15" customHeight="1">
      <c r="B58" s="4"/>
      <c r="C58" s="4"/>
      <c r="D58" s="4"/>
      <c r="E58" s="4"/>
      <c r="F58" s="4"/>
      <c r="G58" s="107" t="s">
        <v>13</v>
      </c>
      <c r="H58" s="2"/>
      <c r="I58" s="107" t="s">
        <v>13</v>
      </c>
    </row>
    <row r="59" spans="2:9" ht="15" customHeight="1">
      <c r="B59" s="2" t="s">
        <v>187</v>
      </c>
      <c r="G59" s="79"/>
      <c r="H59" s="72"/>
      <c r="I59" s="65"/>
    </row>
    <row r="60" spans="2:9" ht="15" customHeight="1">
      <c r="B60" s="58" t="s">
        <v>35</v>
      </c>
      <c r="C60" s="58"/>
      <c r="D60" s="58"/>
      <c r="E60" s="58"/>
      <c r="F60" s="58"/>
      <c r="G60" s="65">
        <f>+I60-74618</f>
        <v>40769</v>
      </c>
      <c r="H60" s="39"/>
      <c r="I60" s="149">
        <v>115387</v>
      </c>
    </row>
    <row r="61" spans="2:9" ht="15" customHeight="1">
      <c r="B61" s="58" t="s">
        <v>123</v>
      </c>
      <c r="C61" s="58"/>
      <c r="D61" s="58"/>
      <c r="E61" s="58"/>
      <c r="F61" s="58"/>
      <c r="G61" s="79">
        <f>+I61-3729</f>
        <v>3136</v>
      </c>
      <c r="H61" s="72"/>
      <c r="I61" s="154">
        <v>6865</v>
      </c>
    </row>
    <row r="62" spans="2:9" ht="15" customHeight="1">
      <c r="B62" s="2" t="s">
        <v>283</v>
      </c>
      <c r="C62" s="58"/>
      <c r="D62" s="58"/>
      <c r="E62" s="58"/>
      <c r="F62" s="58"/>
      <c r="G62" s="79">
        <f>+I62-1557</f>
        <v>0</v>
      </c>
      <c r="H62" s="72"/>
      <c r="I62" s="65">
        <v>1557</v>
      </c>
    </row>
    <row r="63" spans="2:9" ht="15" customHeight="1">
      <c r="B63" s="2" t="s">
        <v>281</v>
      </c>
      <c r="C63" s="58"/>
      <c r="D63" s="58"/>
      <c r="E63" s="58"/>
      <c r="F63" s="58"/>
      <c r="G63" s="79">
        <f>+I63-5520</f>
        <v>1</v>
      </c>
      <c r="H63" s="72"/>
      <c r="I63" s="65">
        <v>5521</v>
      </c>
    </row>
    <row r="64" spans="2:9" ht="15" customHeight="1">
      <c r="B64" s="2" t="s">
        <v>308</v>
      </c>
      <c r="C64" s="58"/>
      <c r="D64" s="58"/>
      <c r="E64" s="58"/>
      <c r="F64" s="58"/>
      <c r="G64" s="79">
        <f>+I64-8</f>
        <v>3</v>
      </c>
      <c r="H64" s="72"/>
      <c r="I64" s="65">
        <v>11</v>
      </c>
    </row>
    <row r="65" spans="2:9" ht="15" customHeight="1" thickBot="1">
      <c r="B65" s="4"/>
      <c r="C65" s="74"/>
      <c r="D65" s="74"/>
      <c r="E65" s="4"/>
      <c r="F65" s="4"/>
      <c r="G65" s="186">
        <f>SUM(G60:G64)</f>
        <v>43909</v>
      </c>
      <c r="H65" s="72"/>
      <c r="I65" s="156">
        <f>SUM(I60:I64)</f>
        <v>129341</v>
      </c>
    </row>
    <row r="66" spans="2:9" ht="9.75" customHeight="1" thickTop="1">
      <c r="B66" s="4"/>
      <c r="C66" s="74"/>
      <c r="D66" s="74"/>
      <c r="E66" s="4"/>
      <c r="F66" s="4"/>
      <c r="G66" s="165"/>
      <c r="H66" s="72"/>
      <c r="I66" s="65"/>
    </row>
    <row r="67" spans="2:4" ht="15">
      <c r="B67" s="2" t="s">
        <v>386</v>
      </c>
      <c r="C67" s="58"/>
      <c r="D67" s="58"/>
    </row>
    <row r="68" ht="15">
      <c r="B68" s="2" t="s">
        <v>309</v>
      </c>
    </row>
    <row r="69" ht="15">
      <c r="B69" s="2" t="s">
        <v>310</v>
      </c>
    </row>
    <row r="71" spans="1:2" ht="15">
      <c r="A71" s="2" t="s">
        <v>61</v>
      </c>
      <c r="B71" s="2" t="s">
        <v>149</v>
      </c>
    </row>
    <row r="72" spans="2:3" ht="15">
      <c r="B72" s="55" t="s">
        <v>185</v>
      </c>
      <c r="C72" s="57"/>
    </row>
    <row r="73" ht="15">
      <c r="B73" s="55" t="s">
        <v>387</v>
      </c>
    </row>
    <row r="74" ht="15">
      <c r="B74" s="55"/>
    </row>
    <row r="75" spans="1:2" ht="15">
      <c r="A75" s="2" t="s">
        <v>60</v>
      </c>
      <c r="B75" s="2" t="s">
        <v>124</v>
      </c>
    </row>
    <row r="76" spans="2:9" ht="12.75" customHeight="1">
      <c r="B76" s="55"/>
      <c r="C76" s="57"/>
      <c r="D76" s="57"/>
      <c r="H76" s="27"/>
      <c r="I76" s="27"/>
    </row>
    <row r="77" spans="2:3" ht="15">
      <c r="B77" s="2" t="s">
        <v>274</v>
      </c>
      <c r="C77" s="2" t="s">
        <v>388</v>
      </c>
    </row>
    <row r="78" ht="15">
      <c r="C78" s="2" t="s">
        <v>289</v>
      </c>
    </row>
    <row r="79" spans="7:9" ht="15">
      <c r="G79" s="27" t="s">
        <v>302</v>
      </c>
      <c r="I79" s="27" t="s">
        <v>250</v>
      </c>
    </row>
    <row r="80" spans="7:9" ht="15">
      <c r="G80" s="27" t="s">
        <v>301</v>
      </c>
      <c r="I80" s="152" t="s">
        <v>385</v>
      </c>
    </row>
    <row r="81" spans="7:9" ht="15">
      <c r="G81" s="27" t="s">
        <v>13</v>
      </c>
      <c r="I81" s="27" t="s">
        <v>13</v>
      </c>
    </row>
    <row r="82" spans="3:9" ht="15.75" thickBot="1">
      <c r="C82" s="2" t="s">
        <v>291</v>
      </c>
      <c r="G82" s="179">
        <f>+I82-93</f>
        <v>0</v>
      </c>
      <c r="I82" s="181">
        <f>93</f>
        <v>93</v>
      </c>
    </row>
    <row r="83" spans="3:9" ht="16.5" thickBot="1" thickTop="1">
      <c r="C83" s="2" t="s">
        <v>290</v>
      </c>
      <c r="G83" s="180">
        <f>+I83-92</f>
        <v>0</v>
      </c>
      <c r="I83" s="178">
        <f>92</f>
        <v>92</v>
      </c>
    </row>
    <row r="84" spans="3:9" ht="16.5" thickBot="1" thickTop="1">
      <c r="C84" s="2" t="s">
        <v>292</v>
      </c>
      <c r="G84" s="180">
        <f>+I84--1</f>
        <v>0</v>
      </c>
      <c r="I84" s="178">
        <v>-1</v>
      </c>
    </row>
    <row r="85" spans="7:9" ht="12.75" customHeight="1" thickTop="1">
      <c r="G85" s="141"/>
      <c r="H85" s="142"/>
      <c r="I85" s="142"/>
    </row>
    <row r="86" spans="2:9" ht="15" customHeight="1">
      <c r="B86" s="2" t="s">
        <v>69</v>
      </c>
      <c r="C86" s="2" t="s">
        <v>389</v>
      </c>
      <c r="G86" s="141"/>
      <c r="H86" s="142"/>
      <c r="I86" s="142"/>
    </row>
    <row r="87" spans="7:9" ht="7.5" customHeight="1">
      <c r="G87" s="141"/>
      <c r="H87" s="142"/>
      <c r="I87" s="142"/>
    </row>
    <row r="88" spans="7:11" ht="15" customHeight="1">
      <c r="G88" s="59"/>
      <c r="H88" s="2"/>
      <c r="I88" s="27" t="s">
        <v>250</v>
      </c>
      <c r="J88" s="73"/>
      <c r="K88" s="73"/>
    </row>
    <row r="89" spans="7:11" ht="15" customHeight="1">
      <c r="G89" s="59"/>
      <c r="H89" s="2"/>
      <c r="I89" s="152" t="s">
        <v>385</v>
      </c>
      <c r="J89" s="73"/>
      <c r="K89" s="73"/>
    </row>
    <row r="90" spans="3:11" ht="15" customHeight="1">
      <c r="C90" s="95"/>
      <c r="G90" s="140"/>
      <c r="I90" s="73" t="s">
        <v>13</v>
      </c>
      <c r="J90" s="73"/>
      <c r="K90" s="73"/>
    </row>
    <row r="91" spans="2:12" ht="15.75" thickBot="1">
      <c r="B91" s="2" t="s">
        <v>70</v>
      </c>
      <c r="C91" s="2" t="s">
        <v>198</v>
      </c>
      <c r="G91" s="4"/>
      <c r="I91" s="188">
        <v>33775</v>
      </c>
      <c r="L91" s="4"/>
    </row>
    <row r="92" spans="2:12" ht="16.5" thickBot="1" thickTop="1">
      <c r="B92" s="2" t="s">
        <v>71</v>
      </c>
      <c r="C92" s="2" t="s">
        <v>199</v>
      </c>
      <c r="G92" s="4"/>
      <c r="I92" s="189">
        <v>16083</v>
      </c>
      <c r="L92" s="4"/>
    </row>
    <row r="93" spans="2:12" ht="16.5" thickBot="1" thickTop="1">
      <c r="B93" s="2" t="s">
        <v>72</v>
      </c>
      <c r="C93" s="2" t="s">
        <v>200</v>
      </c>
      <c r="G93" s="4"/>
      <c r="H93" s="2"/>
      <c r="I93" s="188">
        <v>16281</v>
      </c>
      <c r="L93" s="4"/>
    </row>
    <row r="94" spans="7:12" ht="15.75" thickTop="1">
      <c r="G94" s="4"/>
      <c r="H94" s="2"/>
      <c r="I94" s="154"/>
      <c r="L94" s="4"/>
    </row>
    <row r="95" spans="1:3" ht="15">
      <c r="A95" s="2" t="s">
        <v>59</v>
      </c>
      <c r="B95" s="2" t="s">
        <v>274</v>
      </c>
      <c r="C95" s="153" t="s">
        <v>396</v>
      </c>
    </row>
    <row r="96" ht="15">
      <c r="C96" s="2" t="s">
        <v>414</v>
      </c>
    </row>
    <row r="97" ht="15">
      <c r="C97" s="2" t="s">
        <v>415</v>
      </c>
    </row>
    <row r="98" ht="15">
      <c r="C98" s="2" t="s">
        <v>416</v>
      </c>
    </row>
    <row r="99" ht="15">
      <c r="C99" s="2" t="s">
        <v>443</v>
      </c>
    </row>
    <row r="100" spans="2:3" ht="15" customHeight="1">
      <c r="B100" s="60"/>
      <c r="C100" s="2" t="s">
        <v>417</v>
      </c>
    </row>
    <row r="101" spans="2:3" ht="15" customHeight="1">
      <c r="B101" s="60"/>
      <c r="C101" s="2" t="s">
        <v>444</v>
      </c>
    </row>
    <row r="102" spans="2:3" ht="15" customHeight="1">
      <c r="B102" s="60"/>
      <c r="C102" s="2" t="s">
        <v>418</v>
      </c>
    </row>
    <row r="103" ht="15" customHeight="1">
      <c r="B103" s="60"/>
    </row>
    <row r="104" ht="15" customHeight="1">
      <c r="B104" s="60"/>
    </row>
    <row r="105" ht="15" customHeight="1">
      <c r="B105" s="60"/>
    </row>
    <row r="106" ht="15" customHeight="1">
      <c r="B106" s="60"/>
    </row>
    <row r="107" ht="8.25" customHeight="1">
      <c r="B107" s="60"/>
    </row>
    <row r="108" spans="1:3" ht="15" customHeight="1">
      <c r="A108" s="2" t="s">
        <v>59</v>
      </c>
      <c r="B108" s="2" t="s">
        <v>274</v>
      </c>
      <c r="C108" s="2" t="s">
        <v>446</v>
      </c>
    </row>
    <row r="109" spans="2:3" ht="15" customHeight="1">
      <c r="B109" s="60"/>
      <c r="C109" s="2" t="s">
        <v>419</v>
      </c>
    </row>
    <row r="110" spans="2:3" ht="15" customHeight="1">
      <c r="B110" s="60"/>
      <c r="C110" s="2" t="s">
        <v>420</v>
      </c>
    </row>
    <row r="111" spans="2:3" ht="15" customHeight="1">
      <c r="B111" s="60"/>
      <c r="C111" s="2" t="s">
        <v>447</v>
      </c>
    </row>
    <row r="112" spans="2:3" ht="15" customHeight="1">
      <c r="B112" s="60"/>
      <c r="C112" s="2" t="s">
        <v>448</v>
      </c>
    </row>
    <row r="113" ht="14.25" customHeight="1">
      <c r="B113" s="60"/>
    </row>
    <row r="114" spans="2:4" ht="15">
      <c r="B114" s="2" t="s">
        <v>69</v>
      </c>
      <c r="C114" s="2" t="s">
        <v>180</v>
      </c>
      <c r="D114" s="60"/>
    </row>
    <row r="115" spans="3:4" ht="15">
      <c r="C115" s="2" t="s">
        <v>122</v>
      </c>
      <c r="D115" s="60"/>
    </row>
    <row r="116" ht="5.25" customHeight="1">
      <c r="D116" s="60"/>
    </row>
    <row r="117" spans="1:10" ht="15">
      <c r="A117" s="58"/>
      <c r="C117" s="2" t="s">
        <v>251</v>
      </c>
      <c r="G117" s="27"/>
      <c r="H117" s="27"/>
      <c r="J117" s="2"/>
    </row>
    <row r="118" spans="1:10" ht="15">
      <c r="A118" s="58"/>
      <c r="C118" s="2" t="s">
        <v>252</v>
      </c>
      <c r="G118" s="27"/>
      <c r="H118" s="27"/>
      <c r="J118" s="2"/>
    </row>
    <row r="119" spans="1:10" ht="15">
      <c r="A119" s="58"/>
      <c r="C119" s="2" t="s">
        <v>253</v>
      </c>
      <c r="G119" s="27"/>
      <c r="H119" s="27"/>
      <c r="J119" s="2"/>
    </row>
    <row r="120" spans="1:10" ht="15">
      <c r="A120" s="58"/>
      <c r="C120" s="2" t="s">
        <v>390</v>
      </c>
      <c r="G120" s="27"/>
      <c r="H120" s="27"/>
      <c r="J120" s="2"/>
    </row>
    <row r="121" spans="1:10" ht="15">
      <c r="A121" s="58"/>
      <c r="C121" s="2" t="s">
        <v>254</v>
      </c>
      <c r="G121" s="27"/>
      <c r="H121" s="27"/>
      <c r="J121" s="2"/>
    </row>
    <row r="122" spans="1:10" ht="15">
      <c r="A122" s="58"/>
      <c r="C122" s="2" t="s">
        <v>275</v>
      </c>
      <c r="G122" s="27"/>
      <c r="H122" s="27"/>
      <c r="J122" s="2"/>
    </row>
    <row r="123" spans="1:10" ht="15">
      <c r="A123" s="58"/>
      <c r="C123" s="2" t="s">
        <v>255</v>
      </c>
      <c r="G123" s="27"/>
      <c r="H123" s="27"/>
      <c r="J123" s="2"/>
    </row>
    <row r="124" spans="1:10" ht="15">
      <c r="A124" s="58"/>
      <c r="C124" s="2" t="s">
        <v>256</v>
      </c>
      <c r="G124" s="27"/>
      <c r="H124" s="27"/>
      <c r="J124" s="2"/>
    </row>
    <row r="125" spans="1:10" ht="11.25" customHeight="1">
      <c r="A125" s="58"/>
      <c r="G125" s="27"/>
      <c r="H125" s="27"/>
      <c r="J125" s="2"/>
    </row>
    <row r="126" spans="1:10" ht="15">
      <c r="A126" s="58"/>
      <c r="C126" s="2" t="s">
        <v>482</v>
      </c>
      <c r="G126" s="27"/>
      <c r="H126" s="27"/>
      <c r="J126" s="2"/>
    </row>
    <row r="127" spans="1:10" ht="15">
      <c r="A127" s="58"/>
      <c r="C127" s="2" t="s">
        <v>445</v>
      </c>
      <c r="G127" s="27"/>
      <c r="H127" s="27"/>
      <c r="J127" s="2"/>
    </row>
    <row r="128" spans="1:9" ht="10.5" customHeight="1">
      <c r="A128" s="58"/>
      <c r="H128" s="27"/>
      <c r="I128" s="27"/>
    </row>
    <row r="129" spans="3:10" ht="15">
      <c r="C129" s="2" t="s">
        <v>125</v>
      </c>
      <c r="G129" s="27"/>
      <c r="H129" s="27"/>
      <c r="J129" s="2"/>
    </row>
    <row r="130" spans="1:10" ht="15">
      <c r="A130" s="58"/>
      <c r="C130" s="2" t="s">
        <v>189</v>
      </c>
      <c r="G130" s="27"/>
      <c r="H130" s="27"/>
      <c r="J130" s="2"/>
    </row>
    <row r="131" spans="1:10" ht="15">
      <c r="A131" s="58"/>
      <c r="C131" s="2" t="s">
        <v>188</v>
      </c>
      <c r="G131" s="27"/>
      <c r="H131" s="27"/>
      <c r="J131" s="2"/>
    </row>
    <row r="132" spans="1:10" ht="15">
      <c r="A132" s="58"/>
      <c r="C132" s="2" t="s">
        <v>479</v>
      </c>
      <c r="G132" s="27"/>
      <c r="H132" s="27"/>
      <c r="J132" s="2"/>
    </row>
    <row r="133" spans="8:13" ht="10.5" customHeight="1">
      <c r="H133" s="27"/>
      <c r="I133" s="27"/>
      <c r="L133" s="168"/>
      <c r="M133" s="39"/>
    </row>
    <row r="134" spans="3:17" ht="15" customHeight="1">
      <c r="C134" s="173" t="s">
        <v>257</v>
      </c>
      <c r="D134" s="173"/>
      <c r="E134" s="173"/>
      <c r="F134" s="173"/>
      <c r="G134" s="173"/>
      <c r="H134" s="173"/>
      <c r="I134" s="173"/>
      <c r="J134" s="65"/>
      <c r="L134" s="65"/>
      <c r="M134" s="65"/>
      <c r="N134" s="65"/>
      <c r="O134" s="65"/>
      <c r="P134" s="65"/>
      <c r="Q134" s="65"/>
    </row>
    <row r="135" spans="3:17" ht="15" customHeight="1">
      <c r="C135" s="173" t="s">
        <v>258</v>
      </c>
      <c r="D135" s="173"/>
      <c r="E135" s="173"/>
      <c r="F135" s="173"/>
      <c r="G135" s="173"/>
      <c r="H135" s="173"/>
      <c r="I135" s="173"/>
      <c r="J135" s="65"/>
      <c r="L135" s="65"/>
      <c r="M135" s="65"/>
      <c r="N135" s="65"/>
      <c r="O135" s="65"/>
      <c r="P135" s="65"/>
      <c r="Q135" s="65"/>
    </row>
    <row r="136" spans="3:17" ht="15" customHeight="1">
      <c r="C136" s="173" t="s">
        <v>259</v>
      </c>
      <c r="D136" s="173"/>
      <c r="E136" s="173"/>
      <c r="F136" s="173"/>
      <c r="G136" s="173"/>
      <c r="H136" s="173"/>
      <c r="I136" s="173"/>
      <c r="J136" s="65"/>
      <c r="L136" s="65"/>
      <c r="M136" s="65"/>
      <c r="N136" s="65"/>
      <c r="O136" s="65"/>
      <c r="P136" s="65"/>
      <c r="Q136" s="65"/>
    </row>
    <row r="137" spans="3:17" ht="15" customHeight="1">
      <c r="C137" s="173" t="s">
        <v>260</v>
      </c>
      <c r="D137" s="173"/>
      <c r="E137" s="173"/>
      <c r="F137" s="173"/>
      <c r="G137" s="173"/>
      <c r="H137" s="173"/>
      <c r="I137" s="173"/>
      <c r="J137" s="65"/>
      <c r="L137" s="65"/>
      <c r="M137" s="65"/>
      <c r="N137" s="65"/>
      <c r="O137" s="65"/>
      <c r="P137" s="65"/>
      <c r="Q137" s="65"/>
    </row>
    <row r="138" spans="4:13" ht="15" customHeight="1">
      <c r="D138" s="169"/>
      <c r="E138" s="143"/>
      <c r="F138" s="143"/>
      <c r="G138" s="143"/>
      <c r="H138" s="155"/>
      <c r="I138" s="155"/>
      <c r="J138" s="142"/>
      <c r="L138" s="58"/>
      <c r="M138" s="159"/>
    </row>
    <row r="139" spans="3:13" ht="15" customHeight="1">
      <c r="C139" s="173" t="s">
        <v>261</v>
      </c>
      <c r="D139" s="173"/>
      <c r="E139" s="143"/>
      <c r="F139" s="143"/>
      <c r="G139" s="143"/>
      <c r="H139" s="155"/>
      <c r="I139" s="155"/>
      <c r="J139" s="142"/>
      <c r="L139" s="58"/>
      <c r="M139" s="159"/>
    </row>
    <row r="140" spans="3:17" ht="15" customHeight="1">
      <c r="C140" s="173" t="s">
        <v>262</v>
      </c>
      <c r="D140" s="173"/>
      <c r="E140" s="173"/>
      <c r="F140" s="173"/>
      <c r="G140" s="173"/>
      <c r="H140" s="173"/>
      <c r="I140" s="173"/>
      <c r="J140" s="65"/>
      <c r="L140" s="65"/>
      <c r="M140" s="65"/>
      <c r="N140" s="65"/>
      <c r="O140" s="65"/>
      <c r="P140" s="65"/>
      <c r="Q140" s="65"/>
    </row>
    <row r="141" spans="3:17" ht="15" customHeight="1">
      <c r="C141" s="173" t="s">
        <v>263</v>
      </c>
      <c r="D141" s="173"/>
      <c r="E141" s="173"/>
      <c r="F141" s="173"/>
      <c r="G141" s="173"/>
      <c r="H141" s="173"/>
      <c r="I141" s="173"/>
      <c r="J141" s="65"/>
      <c r="L141" s="65"/>
      <c r="M141" s="65"/>
      <c r="N141" s="65"/>
      <c r="O141" s="65"/>
      <c r="P141" s="65"/>
      <c r="Q141" s="65"/>
    </row>
    <row r="142" spans="3:17" ht="15" customHeight="1">
      <c r="C142" s="173" t="s">
        <v>264</v>
      </c>
      <c r="D142" s="173"/>
      <c r="E142" s="173"/>
      <c r="F142" s="173"/>
      <c r="G142" s="173"/>
      <c r="H142" s="173"/>
      <c r="I142" s="173"/>
      <c r="J142" s="65"/>
      <c r="L142" s="65"/>
      <c r="M142" s="65"/>
      <c r="N142" s="65"/>
      <c r="O142" s="65"/>
      <c r="P142" s="65"/>
      <c r="Q142" s="65"/>
    </row>
    <row r="143" spans="3:17" ht="15" customHeight="1">
      <c r="C143" s="173" t="s">
        <v>480</v>
      </c>
      <c r="D143" s="173"/>
      <c r="E143" s="173"/>
      <c r="F143" s="173"/>
      <c r="G143" s="173"/>
      <c r="H143" s="173"/>
      <c r="I143" s="173"/>
      <c r="J143" s="65"/>
      <c r="L143" s="65"/>
      <c r="M143" s="65"/>
      <c r="N143" s="65"/>
      <c r="O143" s="65"/>
      <c r="P143" s="65"/>
      <c r="Q143" s="65"/>
    </row>
    <row r="144" spans="3:17" ht="15" customHeight="1">
      <c r="C144" s="173"/>
      <c r="D144" s="173"/>
      <c r="E144" s="173"/>
      <c r="F144" s="173"/>
      <c r="G144" s="173"/>
      <c r="H144" s="173"/>
      <c r="I144" s="173"/>
      <c r="J144" s="65"/>
      <c r="L144" s="65"/>
      <c r="M144" s="65"/>
      <c r="N144" s="65"/>
      <c r="O144" s="65"/>
      <c r="P144" s="65"/>
      <c r="Q144" s="65"/>
    </row>
    <row r="145" spans="3:17" ht="15" customHeight="1">
      <c r="C145" s="173" t="s">
        <v>425</v>
      </c>
      <c r="D145" s="173"/>
      <c r="E145" s="173"/>
      <c r="F145" s="173"/>
      <c r="G145" s="173"/>
      <c r="H145" s="173"/>
      <c r="I145" s="173"/>
      <c r="J145" s="65"/>
      <c r="L145" s="65"/>
      <c r="M145" s="65"/>
      <c r="N145" s="65"/>
      <c r="O145" s="65"/>
      <c r="P145" s="65"/>
      <c r="Q145" s="65"/>
    </row>
    <row r="146" spans="3:17" ht="15" customHeight="1">
      <c r="C146" s="173" t="s">
        <v>426</v>
      </c>
      <c r="D146" s="173"/>
      <c r="E146" s="173"/>
      <c r="F146" s="173"/>
      <c r="G146" s="173"/>
      <c r="H146" s="173"/>
      <c r="I146" s="173"/>
      <c r="J146" s="65"/>
      <c r="L146" s="65"/>
      <c r="M146" s="65"/>
      <c r="N146" s="65"/>
      <c r="O146" s="65"/>
      <c r="P146" s="65"/>
      <c r="Q146" s="65"/>
    </row>
    <row r="147" spans="3:17" ht="15" customHeight="1">
      <c r="C147" s="173" t="s">
        <v>427</v>
      </c>
      <c r="D147" s="173"/>
      <c r="E147" s="173"/>
      <c r="F147" s="173"/>
      <c r="G147" s="173"/>
      <c r="H147" s="173"/>
      <c r="I147" s="173"/>
      <c r="J147" s="65"/>
      <c r="L147" s="65"/>
      <c r="M147" s="65"/>
      <c r="N147" s="65"/>
      <c r="O147" s="65"/>
      <c r="P147" s="65"/>
      <c r="Q147" s="65"/>
    </row>
    <row r="148" spans="3:17" ht="15" customHeight="1">
      <c r="C148" s="173" t="s">
        <v>481</v>
      </c>
      <c r="D148" s="173"/>
      <c r="E148" s="173"/>
      <c r="F148" s="173"/>
      <c r="G148" s="173"/>
      <c r="H148" s="173"/>
      <c r="I148" s="173"/>
      <c r="J148" s="173"/>
      <c r="K148" s="65"/>
      <c r="L148" s="65"/>
      <c r="M148" s="65"/>
      <c r="N148" s="65"/>
      <c r="O148" s="65"/>
      <c r="P148" s="65"/>
      <c r="Q148" s="65"/>
    </row>
    <row r="149" spans="4:17" ht="13.5" customHeight="1">
      <c r="D149" s="173"/>
      <c r="E149" s="173"/>
      <c r="F149" s="173"/>
      <c r="G149" s="173"/>
      <c r="H149" s="173"/>
      <c r="I149" s="173"/>
      <c r="J149" s="173"/>
      <c r="K149" s="65"/>
      <c r="L149" s="65"/>
      <c r="M149" s="65"/>
      <c r="N149" s="65"/>
      <c r="O149" s="65"/>
      <c r="P149" s="65"/>
      <c r="Q149" s="65"/>
    </row>
    <row r="150" spans="3:17" ht="15" customHeight="1">
      <c r="C150" s="173" t="s">
        <v>428</v>
      </c>
      <c r="D150" s="173"/>
      <c r="E150" s="173"/>
      <c r="F150" s="173"/>
      <c r="G150" s="173"/>
      <c r="H150" s="173"/>
      <c r="I150" s="173"/>
      <c r="J150" s="65"/>
      <c r="L150" s="65"/>
      <c r="M150" s="65"/>
      <c r="N150" s="65"/>
      <c r="O150" s="65"/>
      <c r="P150" s="65"/>
      <c r="Q150" s="65"/>
    </row>
    <row r="151" spans="3:17" ht="15" customHeight="1">
      <c r="C151" s="173" t="s">
        <v>429</v>
      </c>
      <c r="D151" s="173"/>
      <c r="E151" s="173"/>
      <c r="F151" s="173"/>
      <c r="G151" s="173"/>
      <c r="H151" s="173"/>
      <c r="I151" s="173"/>
      <c r="J151" s="65"/>
      <c r="L151" s="65"/>
      <c r="M151" s="65"/>
      <c r="N151" s="65"/>
      <c r="O151" s="65"/>
      <c r="P151" s="65"/>
      <c r="Q151" s="65"/>
    </row>
    <row r="152" spans="3:17" ht="15" customHeight="1">
      <c r="C152" s="173"/>
      <c r="D152" s="173"/>
      <c r="E152" s="173"/>
      <c r="F152" s="173"/>
      <c r="G152" s="173"/>
      <c r="H152" s="173"/>
      <c r="I152" s="173"/>
      <c r="J152" s="65"/>
      <c r="L152" s="65"/>
      <c r="M152" s="65"/>
      <c r="N152" s="65"/>
      <c r="O152" s="65"/>
      <c r="P152" s="65"/>
      <c r="Q152" s="65"/>
    </row>
    <row r="153" spans="3:17" ht="15" customHeight="1">
      <c r="C153" s="173"/>
      <c r="D153" s="173"/>
      <c r="E153" s="173"/>
      <c r="F153" s="173"/>
      <c r="G153" s="173"/>
      <c r="H153" s="173"/>
      <c r="I153" s="173"/>
      <c r="J153" s="65"/>
      <c r="L153" s="65"/>
      <c r="M153" s="65"/>
      <c r="N153" s="65"/>
      <c r="O153" s="65"/>
      <c r="P153" s="65"/>
      <c r="Q153" s="65"/>
    </row>
    <row r="154" spans="3:17" ht="15" customHeight="1">
      <c r="C154" s="173"/>
      <c r="D154" s="173"/>
      <c r="E154" s="173"/>
      <c r="F154" s="173"/>
      <c r="G154" s="173"/>
      <c r="H154" s="173"/>
      <c r="I154" s="173"/>
      <c r="J154" s="65"/>
      <c r="L154" s="65"/>
      <c r="M154" s="65"/>
      <c r="N154" s="65"/>
      <c r="O154" s="65"/>
      <c r="P154" s="65"/>
      <c r="Q154" s="65"/>
    </row>
    <row r="155" spans="3:17" ht="15" customHeight="1">
      <c r="C155" s="173"/>
      <c r="D155" s="173"/>
      <c r="E155" s="173"/>
      <c r="F155" s="173"/>
      <c r="G155" s="173"/>
      <c r="H155" s="173"/>
      <c r="I155" s="173"/>
      <c r="J155" s="65"/>
      <c r="L155" s="65"/>
      <c r="M155" s="65"/>
      <c r="N155" s="65"/>
      <c r="O155" s="65"/>
      <c r="P155" s="65"/>
      <c r="Q155" s="65"/>
    </row>
    <row r="156" spans="3:17" ht="15" customHeight="1">
      <c r="C156" s="173"/>
      <c r="D156" s="173"/>
      <c r="E156" s="173"/>
      <c r="F156" s="173"/>
      <c r="G156" s="173"/>
      <c r="H156" s="173"/>
      <c r="I156" s="173"/>
      <c r="J156" s="65"/>
      <c r="L156" s="65"/>
      <c r="M156" s="65"/>
      <c r="N156" s="65"/>
      <c r="O156" s="65"/>
      <c r="P156" s="65"/>
      <c r="Q156" s="65"/>
    </row>
    <row r="157" spans="3:17" ht="15" customHeight="1">
      <c r="C157" s="173"/>
      <c r="D157" s="173"/>
      <c r="E157" s="173"/>
      <c r="F157" s="173"/>
      <c r="G157" s="173"/>
      <c r="H157" s="173"/>
      <c r="I157" s="173"/>
      <c r="J157" s="65"/>
      <c r="L157" s="65"/>
      <c r="M157" s="65"/>
      <c r="N157" s="65"/>
      <c r="O157" s="65"/>
      <c r="P157" s="65"/>
      <c r="Q157" s="65"/>
    </row>
    <row r="158" spans="3:17" ht="15" customHeight="1">
      <c r="C158" s="173"/>
      <c r="D158" s="173"/>
      <c r="E158" s="173"/>
      <c r="F158" s="173"/>
      <c r="G158" s="173"/>
      <c r="H158" s="173"/>
      <c r="I158" s="173"/>
      <c r="J158" s="65"/>
      <c r="L158" s="65"/>
      <c r="M158" s="65"/>
      <c r="N158" s="65"/>
      <c r="O158" s="65"/>
      <c r="P158" s="65"/>
      <c r="Q158" s="65"/>
    </row>
    <row r="159" spans="3:17" ht="15" customHeight="1">
      <c r="C159" s="173"/>
      <c r="D159" s="173"/>
      <c r="E159" s="173"/>
      <c r="F159" s="173"/>
      <c r="G159" s="173"/>
      <c r="H159" s="173"/>
      <c r="I159" s="173"/>
      <c r="J159" s="65"/>
      <c r="L159" s="65"/>
      <c r="M159" s="65"/>
      <c r="N159" s="65"/>
      <c r="O159" s="65"/>
      <c r="P159" s="65"/>
      <c r="Q159" s="65"/>
    </row>
    <row r="160" spans="3:17" ht="15" customHeight="1">
      <c r="C160" s="173"/>
      <c r="D160" s="173"/>
      <c r="E160" s="173"/>
      <c r="F160" s="173"/>
      <c r="G160" s="173"/>
      <c r="H160" s="173"/>
      <c r="I160" s="173"/>
      <c r="J160" s="65"/>
      <c r="L160" s="65"/>
      <c r="M160" s="65"/>
      <c r="N160" s="65"/>
      <c r="O160" s="65"/>
      <c r="P160" s="65"/>
      <c r="Q160" s="65"/>
    </row>
    <row r="161" spans="3:17" ht="9.75" customHeight="1">
      <c r="C161" s="173"/>
      <c r="D161" s="173"/>
      <c r="E161" s="173"/>
      <c r="F161" s="173"/>
      <c r="G161" s="173"/>
      <c r="H161" s="173"/>
      <c r="I161" s="173"/>
      <c r="J161" s="65"/>
      <c r="L161" s="65"/>
      <c r="M161" s="65"/>
      <c r="N161" s="65"/>
      <c r="O161" s="65"/>
      <c r="P161" s="65"/>
      <c r="Q161" s="65"/>
    </row>
    <row r="162" spans="1:17" ht="15" customHeight="1">
      <c r="A162" s="2" t="s">
        <v>59</v>
      </c>
      <c r="B162" s="2" t="s">
        <v>69</v>
      </c>
      <c r="C162" s="173" t="s">
        <v>430</v>
      </c>
      <c r="D162" s="173"/>
      <c r="E162" s="173"/>
      <c r="F162" s="173"/>
      <c r="G162" s="173"/>
      <c r="H162" s="173"/>
      <c r="I162" s="173"/>
      <c r="J162" s="65"/>
      <c r="L162" s="65"/>
      <c r="M162" s="65"/>
      <c r="N162" s="65"/>
      <c r="O162" s="65"/>
      <c r="P162" s="65"/>
      <c r="Q162" s="65"/>
    </row>
    <row r="163" spans="3:17" ht="15" customHeight="1">
      <c r="C163" s="173" t="s">
        <v>449</v>
      </c>
      <c r="D163" s="173"/>
      <c r="E163" s="173"/>
      <c r="F163" s="173"/>
      <c r="G163" s="173"/>
      <c r="H163" s="173"/>
      <c r="I163" s="173"/>
      <c r="J163" s="65"/>
      <c r="L163" s="65"/>
      <c r="M163" s="65"/>
      <c r="N163" s="65"/>
      <c r="O163" s="65"/>
      <c r="P163" s="65"/>
      <c r="Q163" s="65"/>
    </row>
    <row r="164" spans="3:17" ht="15" customHeight="1">
      <c r="C164" s="173" t="s">
        <v>450</v>
      </c>
      <c r="D164" s="173"/>
      <c r="E164" s="173"/>
      <c r="F164" s="173"/>
      <c r="G164" s="173"/>
      <c r="H164" s="173"/>
      <c r="I164" s="173"/>
      <c r="J164" s="65"/>
      <c r="L164" s="65"/>
      <c r="M164" s="65"/>
      <c r="N164" s="65"/>
      <c r="O164" s="65"/>
      <c r="P164" s="65"/>
      <c r="Q164" s="65"/>
    </row>
    <row r="165" spans="3:17" ht="15" customHeight="1">
      <c r="C165" s="173" t="s">
        <v>451</v>
      </c>
      <c r="D165" s="173"/>
      <c r="E165" s="173"/>
      <c r="F165" s="173"/>
      <c r="G165" s="173"/>
      <c r="H165" s="173"/>
      <c r="I165" s="173"/>
      <c r="J165" s="65"/>
      <c r="L165" s="65"/>
      <c r="M165" s="65"/>
      <c r="N165" s="65"/>
      <c r="O165" s="65"/>
      <c r="P165" s="65"/>
      <c r="Q165" s="65"/>
    </row>
    <row r="166" spans="3:17" ht="15" customHeight="1">
      <c r="C166" s="173" t="s">
        <v>452</v>
      </c>
      <c r="D166" s="173"/>
      <c r="E166" s="173"/>
      <c r="F166" s="173"/>
      <c r="G166" s="173"/>
      <c r="H166" s="173"/>
      <c r="I166" s="173"/>
      <c r="J166" s="65"/>
      <c r="L166" s="65"/>
      <c r="M166" s="65"/>
      <c r="N166" s="65"/>
      <c r="O166" s="65"/>
      <c r="P166" s="65"/>
      <c r="Q166" s="65"/>
    </row>
    <row r="167" spans="3:17" ht="15" customHeight="1">
      <c r="C167" s="173" t="s">
        <v>1</v>
      </c>
      <c r="D167" s="173"/>
      <c r="E167" s="173"/>
      <c r="F167" s="173"/>
      <c r="G167" s="173"/>
      <c r="H167" s="173"/>
      <c r="I167" s="173"/>
      <c r="J167" s="65"/>
      <c r="L167" s="65"/>
      <c r="M167" s="65"/>
      <c r="N167" s="65"/>
      <c r="O167" s="65"/>
      <c r="P167" s="65"/>
      <c r="Q167" s="65"/>
    </row>
    <row r="168" spans="3:17" ht="15" customHeight="1">
      <c r="C168" s="173" t="s">
        <v>2</v>
      </c>
      <c r="D168" s="173"/>
      <c r="E168" s="173"/>
      <c r="F168" s="173"/>
      <c r="G168" s="173"/>
      <c r="H168" s="173"/>
      <c r="I168" s="173"/>
      <c r="J168" s="65"/>
      <c r="L168" s="65"/>
      <c r="M168" s="65"/>
      <c r="N168" s="65"/>
      <c r="O168" s="65"/>
      <c r="P168" s="65"/>
      <c r="Q168" s="65"/>
    </row>
    <row r="169" spans="3:17" ht="15" customHeight="1">
      <c r="C169" s="173" t="s">
        <v>3</v>
      </c>
      <c r="D169" s="173"/>
      <c r="E169" s="173"/>
      <c r="F169" s="173"/>
      <c r="G169" s="173"/>
      <c r="H169" s="173"/>
      <c r="I169" s="173"/>
      <c r="J169" s="65"/>
      <c r="L169" s="65"/>
      <c r="M169" s="65"/>
      <c r="N169" s="65"/>
      <c r="O169" s="65"/>
      <c r="P169" s="65"/>
      <c r="Q169" s="65"/>
    </row>
    <row r="170" spans="3:17" ht="15" customHeight="1">
      <c r="C170" s="173" t="s">
        <v>0</v>
      </c>
      <c r="D170" s="173"/>
      <c r="E170" s="173"/>
      <c r="F170" s="173"/>
      <c r="G170" s="173"/>
      <c r="H170" s="173"/>
      <c r="I170" s="173"/>
      <c r="J170" s="65"/>
      <c r="L170" s="65"/>
      <c r="M170" s="65"/>
      <c r="N170" s="65"/>
      <c r="O170" s="65"/>
      <c r="P170" s="65"/>
      <c r="Q170" s="65"/>
    </row>
    <row r="171" spans="5:13" ht="15" customHeight="1">
      <c r="E171" s="169"/>
      <c r="F171" s="143"/>
      <c r="G171" s="143"/>
      <c r="H171" s="155"/>
      <c r="I171" s="155"/>
      <c r="J171" s="142"/>
      <c r="L171" s="58"/>
      <c r="M171" s="159"/>
    </row>
    <row r="172" spans="3:13" ht="15" customHeight="1">
      <c r="C172" s="2" t="s">
        <v>421</v>
      </c>
      <c r="G172" s="27"/>
      <c r="H172" s="27"/>
      <c r="I172" s="142"/>
      <c r="J172" s="153"/>
      <c r="L172" s="58"/>
      <c r="M172" s="159"/>
    </row>
    <row r="173" spans="3:13" ht="15" customHeight="1">
      <c r="C173" s="2" t="s">
        <v>422</v>
      </c>
      <c r="G173" s="153"/>
      <c r="H173" s="152"/>
      <c r="I173" s="142"/>
      <c r="J173" s="2"/>
      <c r="L173" s="58"/>
      <c r="M173" s="159"/>
    </row>
    <row r="174" spans="3:13" ht="15" customHeight="1">
      <c r="C174" s="2" t="s">
        <v>423</v>
      </c>
      <c r="G174" s="153"/>
      <c r="H174" s="152"/>
      <c r="I174" s="184"/>
      <c r="J174" s="2"/>
      <c r="L174" s="58"/>
      <c r="M174" s="159"/>
    </row>
    <row r="175" spans="3:13" ht="15" customHeight="1">
      <c r="C175" s="153" t="s">
        <v>424</v>
      </c>
      <c r="G175" s="153"/>
      <c r="H175" s="152"/>
      <c r="I175" s="184"/>
      <c r="J175" s="153"/>
      <c r="L175" s="58"/>
      <c r="M175" s="159"/>
    </row>
    <row r="176" spans="4:13" ht="12" customHeight="1">
      <c r="D176" s="169"/>
      <c r="E176" s="143"/>
      <c r="F176" s="143"/>
      <c r="G176" s="143"/>
      <c r="H176" s="155"/>
      <c r="I176" s="155"/>
      <c r="J176" s="142"/>
      <c r="L176" s="58"/>
      <c r="M176" s="159"/>
    </row>
    <row r="177" spans="1:12" ht="15">
      <c r="A177" s="2" t="s">
        <v>62</v>
      </c>
      <c r="B177" s="2" t="s">
        <v>391</v>
      </c>
      <c r="E177" s="59"/>
      <c r="F177" s="59"/>
      <c r="G177" s="27"/>
      <c r="I177" s="27"/>
      <c r="J177" s="27"/>
      <c r="K177" s="68"/>
      <c r="L177" s="59"/>
    </row>
    <row r="178" spans="5:12" ht="15">
      <c r="E178" s="59"/>
      <c r="F178" s="151"/>
      <c r="G178" s="152"/>
      <c r="I178" s="152" t="s">
        <v>13</v>
      </c>
      <c r="J178" s="27"/>
      <c r="K178" s="68"/>
      <c r="L178" s="59"/>
    </row>
    <row r="179" spans="2:12" ht="15">
      <c r="B179" s="2" t="s">
        <v>4</v>
      </c>
      <c r="E179" s="59"/>
      <c r="F179" s="151"/>
      <c r="G179" s="152"/>
      <c r="I179" s="27"/>
      <c r="J179" s="27"/>
      <c r="K179" s="68"/>
      <c r="L179" s="59"/>
    </row>
    <row r="180" spans="3:12" ht="15">
      <c r="C180" s="2" t="s">
        <v>5</v>
      </c>
      <c r="E180" s="182" t="s">
        <v>6</v>
      </c>
      <c r="F180" s="151"/>
      <c r="G180" s="152"/>
      <c r="I180" s="140">
        <v>100000</v>
      </c>
      <c r="J180" s="27"/>
      <c r="K180" s="68"/>
      <c r="L180" s="59"/>
    </row>
    <row r="181" spans="2:12" ht="15">
      <c r="B181" s="2" t="s">
        <v>7</v>
      </c>
      <c r="E181" s="59"/>
      <c r="F181" s="151"/>
      <c r="G181" s="152"/>
      <c r="I181" s="27"/>
      <c r="J181" s="27"/>
      <c r="K181" s="68"/>
      <c r="L181" s="59"/>
    </row>
    <row r="182" spans="3:12" ht="15">
      <c r="C182" s="2" t="s">
        <v>5</v>
      </c>
      <c r="E182" s="182" t="s">
        <v>6</v>
      </c>
      <c r="F182" s="151"/>
      <c r="G182" s="152"/>
      <c r="I182" s="52">
        <v>500000</v>
      </c>
      <c r="J182" s="27"/>
      <c r="K182" s="68"/>
      <c r="L182" s="59"/>
    </row>
    <row r="183" spans="2:12" ht="15.75" thickBot="1">
      <c r="B183" s="2" t="s">
        <v>31</v>
      </c>
      <c r="E183" s="59"/>
      <c r="F183" s="151"/>
      <c r="G183" s="152"/>
      <c r="I183" s="183">
        <f>+I180+I182</f>
        <v>600000</v>
      </c>
      <c r="J183" s="27"/>
      <c r="K183" s="68"/>
      <c r="L183" s="59"/>
    </row>
    <row r="184" spans="5:12" ht="4.5" customHeight="1" thickTop="1">
      <c r="E184" s="59"/>
      <c r="F184" s="151"/>
      <c r="G184" s="152"/>
      <c r="I184" s="140"/>
      <c r="J184" s="27"/>
      <c r="K184" s="68"/>
      <c r="L184" s="59"/>
    </row>
    <row r="185" spans="5:12" ht="13.5" customHeight="1">
      <c r="E185" s="59"/>
      <c r="F185" s="59"/>
      <c r="G185" s="27"/>
      <c r="I185" s="27"/>
      <c r="J185" s="152"/>
      <c r="K185" s="68"/>
      <c r="L185" s="59"/>
    </row>
    <row r="186" spans="1:2" ht="15">
      <c r="A186" s="2" t="s">
        <v>63</v>
      </c>
      <c r="B186" s="2" t="s">
        <v>154</v>
      </c>
    </row>
    <row r="187" ht="15">
      <c r="B187" s="2" t="s">
        <v>155</v>
      </c>
    </row>
    <row r="188" ht="11.25" customHeight="1"/>
    <row r="189" spans="1:2" ht="15">
      <c r="A189" s="2" t="s">
        <v>64</v>
      </c>
      <c r="B189" s="2" t="s">
        <v>153</v>
      </c>
    </row>
    <row r="190" ht="15">
      <c r="B190" s="2" t="s">
        <v>38</v>
      </c>
    </row>
    <row r="191" ht="15" customHeight="1"/>
    <row r="192" spans="1:7" ht="15">
      <c r="A192" s="2" t="s">
        <v>65</v>
      </c>
      <c r="B192" s="2" t="s">
        <v>475</v>
      </c>
      <c r="G192" s="153"/>
    </row>
    <row r="193" spans="2:10" ht="15">
      <c r="B193" s="2" t="s">
        <v>392</v>
      </c>
      <c r="J193" s="28"/>
    </row>
    <row r="194" spans="2:10" ht="15">
      <c r="B194" s="2" t="s">
        <v>393</v>
      </c>
      <c r="J194" s="28"/>
    </row>
    <row r="195" ht="15" customHeight="1"/>
    <row r="196" ht="15" customHeight="1">
      <c r="B196" s="2" t="s">
        <v>394</v>
      </c>
    </row>
    <row r="197" ht="15" customHeight="1">
      <c r="B197" s="2" t="s">
        <v>395</v>
      </c>
    </row>
    <row r="198" spans="2:6" ht="15" customHeight="1">
      <c r="B198" s="2" t="s">
        <v>476</v>
      </c>
      <c r="C198" s="153"/>
      <c r="F198" s="153"/>
    </row>
    <row r="199" ht="15" customHeight="1">
      <c r="B199" s="2" t="s">
        <v>397</v>
      </c>
    </row>
    <row r="200" ht="15" customHeight="1"/>
    <row r="201" spans="2:12" ht="15" customHeight="1">
      <c r="B201" s="55" t="s">
        <v>8</v>
      </c>
      <c r="C201" s="39"/>
      <c r="D201" s="39"/>
      <c r="L201" s="58"/>
    </row>
    <row r="202" spans="2:12" ht="15" customHeight="1">
      <c r="B202" s="55" t="s">
        <v>486</v>
      </c>
      <c r="C202" s="39"/>
      <c r="D202" s="149"/>
      <c r="E202" s="153"/>
      <c r="L202" s="58"/>
    </row>
    <row r="203" spans="2:6" ht="15" customHeight="1">
      <c r="B203" s="2" t="s">
        <v>477</v>
      </c>
      <c r="E203" s="153"/>
      <c r="F203" s="153"/>
    </row>
    <row r="204" spans="2:10" ht="15" customHeight="1">
      <c r="B204" s="2" t="s">
        <v>478</v>
      </c>
      <c r="G204" s="153"/>
      <c r="H204" s="28"/>
      <c r="I204" s="28"/>
      <c r="J204" s="28"/>
    </row>
    <row r="205" ht="15" customHeight="1">
      <c r="B205" s="2" t="s">
        <v>398</v>
      </c>
    </row>
    <row r="206" ht="11.25" customHeight="1"/>
    <row r="207" ht="15" customHeight="1">
      <c r="B207" s="2" t="s">
        <v>265</v>
      </c>
    </row>
    <row r="208" ht="3.75" customHeight="1"/>
    <row r="209" spans="2:3" ht="15" customHeight="1">
      <c r="B209" s="2" t="s">
        <v>266</v>
      </c>
      <c r="C209" s="2" t="s">
        <v>399</v>
      </c>
    </row>
    <row r="210" ht="15" customHeight="1">
      <c r="C210" s="2" t="s">
        <v>267</v>
      </c>
    </row>
    <row r="211" ht="6" customHeight="1"/>
    <row r="212" spans="2:3" ht="15" customHeight="1">
      <c r="B212" s="2" t="s">
        <v>268</v>
      </c>
      <c r="C212" s="2" t="s">
        <v>269</v>
      </c>
    </row>
    <row r="213" ht="15" customHeight="1"/>
    <row r="214" ht="15" customHeight="1"/>
    <row r="215" ht="15" customHeight="1"/>
    <row r="216" ht="9.75" customHeight="1"/>
    <row r="217" spans="1:2" ht="15">
      <c r="A217" s="2" t="s">
        <v>66</v>
      </c>
      <c r="B217" s="2" t="s">
        <v>270</v>
      </c>
    </row>
    <row r="218" spans="9:11" ht="2.25" customHeight="1">
      <c r="I218" s="128"/>
      <c r="J218" s="129"/>
      <c r="K218" s="78"/>
    </row>
    <row r="219" spans="7:11" ht="15" customHeight="1">
      <c r="G219" s="205" t="s">
        <v>145</v>
      </c>
      <c r="H219" s="205"/>
      <c r="I219" s="205"/>
      <c r="J219" s="205"/>
      <c r="K219" s="78"/>
    </row>
    <row r="220" spans="7:11" ht="15" customHeight="1">
      <c r="G220" s="192" t="s">
        <v>127</v>
      </c>
      <c r="H220" s="192"/>
      <c r="I220" s="192" t="s">
        <v>129</v>
      </c>
      <c r="J220" s="192"/>
      <c r="K220" s="78"/>
    </row>
    <row r="221" spans="7:11" ht="15" customHeight="1">
      <c r="G221" s="192" t="s">
        <v>126</v>
      </c>
      <c r="H221" s="192"/>
      <c r="I221" s="192" t="s">
        <v>128</v>
      </c>
      <c r="J221" s="192"/>
      <c r="K221" s="78"/>
    </row>
    <row r="222" spans="7:11" ht="15" customHeight="1">
      <c r="G222" s="27" t="str">
        <f>+PL!H10</f>
        <v>31-1-2006</v>
      </c>
      <c r="H222" s="27" t="str">
        <f>+PL!I10</f>
        <v>31-1-2005</v>
      </c>
      <c r="I222" s="27" t="str">
        <f>+G222</f>
        <v>31-1-2006</v>
      </c>
      <c r="J222" s="27" t="str">
        <f>+H222</f>
        <v>31-1-2005</v>
      </c>
      <c r="K222" s="78"/>
    </row>
    <row r="223" spans="2:11" ht="15" customHeight="1">
      <c r="B223" s="2" t="s">
        <v>235</v>
      </c>
      <c r="G223" s="154">
        <f>+PL!F29</f>
        <v>97400</v>
      </c>
      <c r="H223" s="79">
        <v>93130</v>
      </c>
      <c r="K223" s="78"/>
    </row>
    <row r="224" spans="2:11" ht="15" customHeight="1">
      <c r="B224" s="2" t="s">
        <v>136</v>
      </c>
      <c r="G224" s="65"/>
      <c r="H224" s="79"/>
      <c r="K224" s="78"/>
    </row>
    <row r="225" spans="2:11" ht="15" customHeight="1">
      <c r="B225" s="2" t="s">
        <v>137</v>
      </c>
      <c r="G225" s="65">
        <v>0</v>
      </c>
      <c r="H225" s="79">
        <v>6749</v>
      </c>
      <c r="K225" s="78"/>
    </row>
    <row r="226" spans="2:11" ht="15" customHeight="1" thickBot="1">
      <c r="B226" s="2" t="s">
        <v>138</v>
      </c>
      <c r="G226" s="77">
        <f>+G223+G225</f>
        <v>97400</v>
      </c>
      <c r="H226" s="106">
        <f>+H223+H225</f>
        <v>99879</v>
      </c>
      <c r="K226" s="78"/>
    </row>
    <row r="227" spans="2:11" ht="15" customHeight="1" thickBot="1" thickTop="1">
      <c r="B227" s="2" t="s">
        <v>130</v>
      </c>
      <c r="G227" s="39"/>
      <c r="H227" s="72"/>
      <c r="I227" s="187">
        <f>+G223/G230*100</f>
        <v>7.744055006642872</v>
      </c>
      <c r="J227" s="171">
        <f>+H223/H230*100</f>
        <v>9.621205703506115</v>
      </c>
      <c r="K227" s="78"/>
    </row>
    <row r="228" spans="9:11" ht="6.75" customHeight="1" thickTop="1">
      <c r="I228" s="128"/>
      <c r="J228" s="129"/>
      <c r="K228" s="78"/>
    </row>
    <row r="229" spans="2:11" ht="15" customHeight="1">
      <c r="B229" s="2" t="s">
        <v>133</v>
      </c>
      <c r="G229" s="39"/>
      <c r="H229" s="72"/>
      <c r="I229" s="27"/>
      <c r="J229" s="27"/>
      <c r="K229" s="78"/>
    </row>
    <row r="230" spans="2:11" ht="15" customHeight="1">
      <c r="B230" s="2" t="s">
        <v>134</v>
      </c>
      <c r="G230" s="39">
        <v>1257739</v>
      </c>
      <c r="H230" s="72">
        <v>967966</v>
      </c>
      <c r="I230" s="27"/>
      <c r="J230" s="27"/>
      <c r="K230" s="78"/>
    </row>
    <row r="231" spans="2:11" ht="15" customHeight="1">
      <c r="B231" s="2" t="s">
        <v>139</v>
      </c>
      <c r="G231" s="166">
        <v>0</v>
      </c>
      <c r="H231" s="125">
        <v>311364</v>
      </c>
      <c r="I231" s="78"/>
      <c r="K231" s="78"/>
    </row>
    <row r="232" spans="2:11" ht="15" customHeight="1">
      <c r="B232" s="2" t="s">
        <v>131</v>
      </c>
      <c r="G232" s="65"/>
      <c r="H232" s="79"/>
      <c r="I232" s="78"/>
      <c r="K232" s="78"/>
    </row>
    <row r="233" spans="2:11" ht="15" customHeight="1" thickBot="1">
      <c r="B233" s="2" t="s">
        <v>135</v>
      </c>
      <c r="G233" s="76">
        <f>SUM(G230:G231)</f>
        <v>1257739</v>
      </c>
      <c r="H233" s="76">
        <f>SUM(H230:H231)</f>
        <v>1279330</v>
      </c>
      <c r="I233" s="78"/>
      <c r="K233" s="78"/>
    </row>
    <row r="234" spans="2:11" ht="15" customHeight="1" thickBot="1" thickTop="1">
      <c r="B234" s="2" t="s">
        <v>132</v>
      </c>
      <c r="I234" s="185" t="s">
        <v>400</v>
      </c>
      <c r="J234" s="126">
        <f>+H226/H233*100</f>
        <v>7.807133421400264</v>
      </c>
      <c r="K234" s="78"/>
    </row>
    <row r="235" spans="9:11" ht="11.25" customHeight="1" thickTop="1">
      <c r="I235" s="128"/>
      <c r="J235" s="129"/>
      <c r="K235" s="78"/>
    </row>
    <row r="236" spans="7:11" ht="15" customHeight="1">
      <c r="G236" s="205" t="s">
        <v>350</v>
      </c>
      <c r="H236" s="205"/>
      <c r="I236" s="205"/>
      <c r="J236" s="205"/>
      <c r="K236" s="78"/>
    </row>
    <row r="237" spans="7:11" ht="15" customHeight="1">
      <c r="G237" s="192" t="s">
        <v>127</v>
      </c>
      <c r="H237" s="192"/>
      <c r="I237" s="192" t="s">
        <v>129</v>
      </c>
      <c r="J237" s="192"/>
      <c r="K237" s="78"/>
    </row>
    <row r="238" spans="7:11" ht="15" customHeight="1">
      <c r="G238" s="192" t="s">
        <v>126</v>
      </c>
      <c r="H238" s="192"/>
      <c r="I238" s="192" t="s">
        <v>128</v>
      </c>
      <c r="J238" s="192"/>
      <c r="K238" s="78"/>
    </row>
    <row r="239" spans="7:11" ht="15" customHeight="1">
      <c r="G239" s="27" t="str">
        <f>+G222</f>
        <v>31-1-2006</v>
      </c>
      <c r="H239" s="27" t="str">
        <f>+H222</f>
        <v>31-1-2005</v>
      </c>
      <c r="I239" s="27" t="str">
        <f>+G239</f>
        <v>31-1-2006</v>
      </c>
      <c r="J239" s="27" t="str">
        <f>+H239</f>
        <v>31-1-2005</v>
      </c>
      <c r="K239" s="78"/>
    </row>
    <row r="240" spans="2:11" ht="15" customHeight="1">
      <c r="B240" s="2" t="s">
        <v>235</v>
      </c>
      <c r="G240" s="154">
        <f>+PL!H29</f>
        <v>306136</v>
      </c>
      <c r="H240" s="79">
        <f>+PL!I29</f>
        <v>255711</v>
      </c>
      <c r="K240" s="78"/>
    </row>
    <row r="241" spans="2:11" ht="15" customHeight="1">
      <c r="B241" s="2" t="s">
        <v>136</v>
      </c>
      <c r="G241" s="65"/>
      <c r="H241" s="79"/>
      <c r="K241" s="78"/>
    </row>
    <row r="242" spans="2:11" ht="15" customHeight="1">
      <c r="B242" s="2" t="s">
        <v>137</v>
      </c>
      <c r="G242" s="65">
        <v>0</v>
      </c>
      <c r="H242" s="79">
        <v>20248</v>
      </c>
      <c r="K242" s="78"/>
    </row>
    <row r="243" spans="2:11" ht="15" customHeight="1" thickBot="1">
      <c r="B243" s="2" t="s">
        <v>138</v>
      </c>
      <c r="G243" s="77">
        <f>+G240+G242</f>
        <v>306136</v>
      </c>
      <c r="H243" s="106">
        <f>+H240+H242</f>
        <v>275959</v>
      </c>
      <c r="K243" s="78"/>
    </row>
    <row r="244" spans="2:11" ht="15" customHeight="1" thickBot="1" thickTop="1">
      <c r="B244" s="2" t="s">
        <v>130</v>
      </c>
      <c r="G244" s="39"/>
      <c r="H244" s="72"/>
      <c r="I244" s="187">
        <f>+G240/G247*100</f>
        <v>25.29395288656736</v>
      </c>
      <c r="J244" s="171">
        <f>+H240/H247*100</f>
        <v>26.045731362621044</v>
      </c>
      <c r="K244" s="78"/>
    </row>
    <row r="245" spans="9:11" ht="6" customHeight="1" thickTop="1">
      <c r="I245" s="128"/>
      <c r="J245" s="129"/>
      <c r="K245" s="78"/>
    </row>
    <row r="246" spans="2:11" ht="15" customHeight="1">
      <c r="B246" s="2" t="s">
        <v>133</v>
      </c>
      <c r="G246" s="39"/>
      <c r="H246" s="72"/>
      <c r="I246" s="27"/>
      <c r="J246" s="27"/>
      <c r="K246" s="78"/>
    </row>
    <row r="247" spans="2:11" ht="15" customHeight="1">
      <c r="B247" s="2" t="s">
        <v>134</v>
      </c>
      <c r="G247" s="39">
        <v>1210313</v>
      </c>
      <c r="H247" s="72">
        <v>981777</v>
      </c>
      <c r="I247" s="27"/>
      <c r="J247" s="27"/>
      <c r="K247" s="78"/>
    </row>
    <row r="248" spans="2:11" ht="15" customHeight="1">
      <c r="B248" s="2" t="s">
        <v>139</v>
      </c>
      <c r="G248" s="166">
        <v>0</v>
      </c>
      <c r="H248" s="125">
        <v>311364</v>
      </c>
      <c r="I248" s="78"/>
      <c r="K248" s="78"/>
    </row>
    <row r="249" spans="2:11" ht="15" customHeight="1">
      <c r="B249" s="2" t="s">
        <v>131</v>
      </c>
      <c r="G249" s="65"/>
      <c r="H249" s="79"/>
      <c r="I249" s="78"/>
      <c r="K249" s="78"/>
    </row>
    <row r="250" spans="2:11" ht="15" customHeight="1" thickBot="1">
      <c r="B250" s="2" t="s">
        <v>135</v>
      </c>
      <c r="G250" s="76">
        <f>SUM(G247:G248)</f>
        <v>1210313</v>
      </c>
      <c r="H250" s="76">
        <f>SUM(H247:H248)</f>
        <v>1293141</v>
      </c>
      <c r="I250" s="78"/>
      <c r="K250" s="78"/>
    </row>
    <row r="251" spans="2:11" ht="15" customHeight="1" thickBot="1" thickTop="1">
      <c r="B251" s="2" t="s">
        <v>132</v>
      </c>
      <c r="I251" s="185" t="s">
        <v>400</v>
      </c>
      <c r="J251" s="126">
        <f>+H243/H250*100</f>
        <v>21.340209613646152</v>
      </c>
      <c r="K251" s="78"/>
    </row>
    <row r="252" spans="9:11" ht="15" customHeight="1" thickTop="1">
      <c r="I252" s="128"/>
      <c r="J252" s="129"/>
      <c r="K252" s="78"/>
    </row>
    <row r="253" spans="9:11" ht="15" customHeight="1">
      <c r="I253" s="128"/>
      <c r="J253" s="129"/>
      <c r="K253" s="78"/>
    </row>
    <row r="254" spans="9:11" ht="15" customHeight="1">
      <c r="I254" s="128"/>
      <c r="J254" s="129"/>
      <c r="K254" s="78"/>
    </row>
    <row r="255" spans="9:11" ht="15" customHeight="1">
      <c r="I255" s="128"/>
      <c r="J255" s="129"/>
      <c r="K255" s="78"/>
    </row>
    <row r="256" spans="9:11" ht="15" customHeight="1">
      <c r="I256" s="128"/>
      <c r="J256" s="129"/>
      <c r="K256" s="78"/>
    </row>
    <row r="257" spans="9:11" ht="15" customHeight="1">
      <c r="I257" s="128"/>
      <c r="J257" s="129"/>
      <c r="K257" s="78"/>
    </row>
    <row r="258" spans="9:11" ht="15" customHeight="1">
      <c r="I258" s="128"/>
      <c r="J258" s="129"/>
      <c r="K258" s="78"/>
    </row>
    <row r="259" spans="9:11" ht="15" customHeight="1">
      <c r="I259" s="128"/>
      <c r="J259" s="129"/>
      <c r="K259" s="78"/>
    </row>
    <row r="260" spans="9:11" ht="15" customHeight="1">
      <c r="I260" s="128"/>
      <c r="J260" s="129"/>
      <c r="K260" s="78"/>
    </row>
    <row r="261" spans="9:11" ht="15" customHeight="1">
      <c r="I261" s="128"/>
      <c r="J261" s="129"/>
      <c r="K261" s="78"/>
    </row>
    <row r="262" spans="9:11" ht="15" customHeight="1">
      <c r="I262" s="128"/>
      <c r="J262" s="129"/>
      <c r="K262" s="78"/>
    </row>
    <row r="263" spans="9:11" ht="15" customHeight="1">
      <c r="I263" s="128"/>
      <c r="J263" s="129"/>
      <c r="K263" s="78"/>
    </row>
    <row r="264" spans="9:11" ht="15" customHeight="1">
      <c r="I264" s="128"/>
      <c r="J264" s="129"/>
      <c r="K264" s="78"/>
    </row>
    <row r="265" spans="9:11" ht="15" customHeight="1">
      <c r="I265" s="128"/>
      <c r="J265" s="129"/>
      <c r="K265" s="78"/>
    </row>
    <row r="266" spans="9:11" ht="15" customHeight="1">
      <c r="I266" s="128"/>
      <c r="J266" s="129"/>
      <c r="K266" s="78"/>
    </row>
    <row r="267" spans="1:11" ht="15" customHeight="1">
      <c r="A267" s="2" t="s">
        <v>79</v>
      </c>
      <c r="I267" s="128"/>
      <c r="J267" s="129"/>
      <c r="K267" s="78"/>
    </row>
    <row r="268" spans="2:11" ht="15" customHeight="1">
      <c r="B268" s="2" t="s">
        <v>80</v>
      </c>
      <c r="I268" s="128"/>
      <c r="J268" s="129"/>
      <c r="K268" s="78"/>
    </row>
    <row r="282" ht="15">
      <c r="J282" s="27"/>
    </row>
  </sheetData>
  <mergeCells count="10">
    <mergeCell ref="G236:J236"/>
    <mergeCell ref="G237:H237"/>
    <mergeCell ref="I237:J237"/>
    <mergeCell ref="G238:H238"/>
    <mergeCell ref="I238:J238"/>
    <mergeCell ref="G219:J219"/>
    <mergeCell ref="G220:H220"/>
    <mergeCell ref="I220:J220"/>
    <mergeCell ref="G221:H221"/>
    <mergeCell ref="I221:J221"/>
  </mergeCells>
  <printOptions/>
  <pageMargins left="0.68" right="0.08" top="0.86" bottom="0.81" header="0.5" footer="0.5"/>
  <pageSetup firstPageNumber="8" useFirstPageNumber="1"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31-1-2006</oddHeader>
    <oddFooter>&amp;R&amp;"Arial,Bold"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2006-03-10T09:35:34Z</cp:lastPrinted>
  <dcterms:created xsi:type="dcterms:W3CDTF">1996-10-14T23:33:28Z</dcterms:created>
  <dcterms:modified xsi:type="dcterms:W3CDTF">2006-03-10T09:38:44Z</dcterms:modified>
  <cp:category/>
  <cp:version/>
  <cp:contentType/>
  <cp:contentStatus/>
</cp:coreProperties>
</file>