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555" windowWidth="9720" windowHeight="7320" activeTab="6"/>
  </bookViews>
  <sheets>
    <sheet name="PL" sheetId="1" r:id="rId1"/>
    <sheet name="Cover" sheetId="2" r:id="rId2"/>
    <sheet name="BS" sheetId="3" r:id="rId3"/>
    <sheet name="SICE" sheetId="4" r:id="rId4"/>
    <sheet name="CF" sheetId="5" r:id="rId5"/>
    <sheet name="Notes" sheetId="6" r:id="rId6"/>
    <sheet name="Notes (2)" sheetId="7" r:id="rId7"/>
  </sheets>
  <definedNames>
    <definedName name="_xlnm.Print_Area" localSheetId="2">'BS'!$A$1:$I$68</definedName>
    <definedName name="_xlnm.Print_Area" localSheetId="4">'CF'!$A$1:$J$59</definedName>
    <definedName name="_xlnm.Print_Area" localSheetId="5">'Notes'!$A$1:$P$204</definedName>
    <definedName name="_xlnm.Print_Area" localSheetId="6">'Notes (2)'!$A$1:$K$204</definedName>
    <definedName name="_xlnm.Print_Area" localSheetId="0">'PL'!$A$1:$I$54</definedName>
    <definedName name="_xlnm.Print_Area" localSheetId="3">'SICE'!$A$1:$L$55</definedName>
  </definedNames>
  <calcPr calcMode="autoNoTable" fullCalcOnLoad="1" iterate="1" iterateCount="50" iterateDelta="0"/>
</workbook>
</file>

<file path=xl/sharedStrings.xml><?xml version="1.0" encoding="utf-8"?>
<sst xmlns="http://schemas.openxmlformats.org/spreadsheetml/2006/main" count="556" uniqueCount="475">
  <si>
    <t>and 11.5% respectively as compared to the previous year.</t>
  </si>
  <si>
    <t>by 13.8% as compared to the previous year mainly due to a lower prize payout in the current financial</t>
  </si>
  <si>
    <t>year under review.</t>
  </si>
  <si>
    <t>of 7.7% mainly due to the higher sales attained by Sports Toto. However the Group recorded a decrease</t>
  </si>
  <si>
    <t xml:space="preserve">quarter under review and the traditionally higher sales from the Chinese New Year festive season </t>
  </si>
  <si>
    <t>Under provision in prior year</t>
  </si>
  <si>
    <t>for the financial year ended 30 April 2005.</t>
  </si>
  <si>
    <t>on 5 August 2002.  BLB has also given an undertaking that it will ensure that at least RM192.374</t>
  </si>
  <si>
    <t xml:space="preserve">million ICULS, comprising 50% of the ICULS beneficially owned by the BLB group will be redeemed </t>
  </si>
  <si>
    <t>the listing of and quotation for the Company's ICULS on Bursa Malaysia Securities Berhad ("BMSB").</t>
  </si>
  <si>
    <t xml:space="preserve">from the relevant lenders of Berjaya Group Berhad ("BGB") group of companies within 60 days after </t>
  </si>
  <si>
    <t>(a)</t>
  </si>
  <si>
    <t>(b)</t>
  </si>
  <si>
    <t>As at 30 April 2005, the outstanding inter-company balances owing by BLB group was RM692.923</t>
  </si>
  <si>
    <t>30 April 2005, BLB had made another repayment of RM18 million in June 2005. As at 3 June 2005,</t>
  </si>
  <si>
    <t xml:space="preserve">the BLB group beneficially owns a balance of RM8,390,000 nominal value of ICULS which are free </t>
  </si>
  <si>
    <t>from encumbrances.</t>
  </si>
  <si>
    <t xml:space="preserve">On 7 March 2005, the Company announced its proposal to undertake a capital distribution of RM0.50 </t>
  </si>
  <si>
    <t xml:space="preserve">for every ordinary share of the Company, to be satisfied wholly in cash to all its shareholders. The </t>
  </si>
  <si>
    <t>capital distribution will be carried out via a reduction of the Company's share capital pursuant to</t>
  </si>
  <si>
    <t>The Board had declared a fourth interim dividend of RM0.11 (30 April 2004 : second interim dividend of</t>
  </si>
  <si>
    <t>1 June 2005.</t>
  </si>
  <si>
    <t xml:space="preserve">RM0.20) per share less 28% income tax in respect of the financial year ended 30 April 2005 and paid on </t>
  </si>
  <si>
    <t>and the third interim dividend of RM0.16 sen per share less 28% income tax was paid on 5 April 2005.</t>
  </si>
  <si>
    <t>24 May 2005 of 1.134 billion, the fourth interim net dividend distribution for the financial year</t>
  </si>
  <si>
    <t>5 - 8</t>
  </si>
  <si>
    <t xml:space="preserve">PGMC Marketing Corporation ("PMC") in July 2004 by one of its subsidiaries for a consideration </t>
  </si>
  <si>
    <t xml:space="preserve">marketing of gaming products and services in the Philippines. </t>
  </si>
  <si>
    <t xml:space="preserve">of Php2,187,500 (equivalent to approximately RM148,500).  The principal activities of PMC are </t>
  </si>
  <si>
    <t>increase in revenue was achieved as there were additional three draws in the current quarter under</t>
  </si>
  <si>
    <t>The proposal has been approved by the Company's shareholders and ICULS holders at an extraordinary</t>
  </si>
  <si>
    <t xml:space="preserve">general meeting convened on 8 June 2005 and it is currently pending the order of the High Court of </t>
  </si>
  <si>
    <t>the second interim dividend of RM0.08 sen per share less 28% income tax was paid on 13 January 2005</t>
  </si>
  <si>
    <t>There were no other corporate proposals announced but not completed as at the date of this announcement</t>
  </si>
  <si>
    <t>except as stated in B8(b).</t>
  </si>
  <si>
    <t>9 - 12</t>
  </si>
  <si>
    <t>EARNINGS / (LOSS) PER SHARE (SEN)</t>
  </si>
  <si>
    <t>*</t>
  </si>
  <si>
    <t xml:space="preserve">liabilities, equity, net income or cash flows for the financial year ended 30 April 2005 except for the </t>
  </si>
  <si>
    <t xml:space="preserve">partial impairment on goodwill of an offshore subsidiary amounting to RM11 million and provision for </t>
  </si>
  <si>
    <t>diminution in value of other long term investments of about RM13 million.</t>
  </si>
  <si>
    <t>approximately RM243.625 million). The Company via its wholly-owned subsidiary, Berjaya Sports</t>
  </si>
  <si>
    <t>Toto (Cayman) Limited ("BSTC") (which is also the holding company of BLM), has subscribed for</t>
  </si>
  <si>
    <t>its entitlement of HKD 257.500 million ordinary shares of HKD 1 each (equivalent to RM125.467</t>
  </si>
  <si>
    <t>million) and the subscription was settled by way of capitalisation of advances from BSTC to BLM.</t>
  </si>
  <si>
    <t>Upon the completion of the BLM rights issue exercise, BSTC equity interest in BLM has increased</t>
  </si>
  <si>
    <t>from 51.5% to 83.7%.</t>
  </si>
  <si>
    <t>The dissolution of an indirect foreign dormant subsidiary, ILTS UK Limited with effect from financial</t>
  </si>
  <si>
    <t>13.9% for both the revenue and pre-tax profit.</t>
  </si>
  <si>
    <t>to the previous year as well as the increase in sales of the 4-Digit game. The pre-tax profit however rose</t>
  </si>
  <si>
    <t>in pre-tax profit of 14.4% mainly due to impairment on goodwill of an offshore subsidiary and the provision</t>
  </si>
  <si>
    <t>and pre-tax profit of 8.1% and 8.3% respectively. This was attributed to two draws more in the current</t>
  </si>
  <si>
    <t xml:space="preserve">*  Included in the quoted long term investment was a total of 8.749 million ordinary shares of Matrix </t>
  </si>
  <si>
    <t>Net profit/(loss) for the period</t>
  </si>
  <si>
    <t>Adjusted net profit/(loss) for the period</t>
  </si>
  <si>
    <t>Basic earnings/(loss) per share</t>
  </si>
  <si>
    <t>The basic and diluted earnings/(loss) per share are calculated as follows :</t>
  </si>
  <si>
    <t xml:space="preserve">Earnings/(loss) per share </t>
  </si>
  <si>
    <t>Diluted earnings/(loss) per share</t>
  </si>
  <si>
    <t>* Included the premium over ICULS of RM57,355,000</t>
  </si>
  <si>
    <t xml:space="preserve">Distribution of dividends </t>
  </si>
  <si>
    <t>was received for the compensation.</t>
  </si>
  <si>
    <t xml:space="preserve">The total gross dividend distribution per share for the four interim dividends in respect of the financial year </t>
  </si>
  <si>
    <t xml:space="preserve">ended 30 April 2005 amounted to RM0.45 (previous year ended 30 April 2004 : RM0.28 per share less </t>
  </si>
  <si>
    <t>28 % income tax).</t>
  </si>
  <si>
    <t>The Group's bank borrowings as at 30 April 2005 consisted of secured short term borrowings by an</t>
  </si>
  <si>
    <t>overseas subsidiary company amounting to approximately USD915,000.  The US dollars denominated</t>
  </si>
  <si>
    <t>RM3,477,000.</t>
  </si>
  <si>
    <t xml:space="preserve">borrowings was converted at the rate prevailing as at 30 April 2005 and this was equivalent to </t>
  </si>
  <si>
    <t>The first interim dividend of RM0.10 sen per share less 28% income tax was paid on 15 October 2004,</t>
  </si>
  <si>
    <t>Net profit for the year</t>
  </si>
  <si>
    <t xml:space="preserve">A guarantee fee is receivable by the Company.  The above facilities have been fully settled during the </t>
  </si>
  <si>
    <t>3 months ended</t>
  </si>
  <si>
    <t>RM'000</t>
  </si>
  <si>
    <t>REVENUE</t>
  </si>
  <si>
    <t>Finance costs</t>
  </si>
  <si>
    <t>PROFIT BEFORE TAXATION</t>
  </si>
  <si>
    <t>TAXATION</t>
  </si>
  <si>
    <t>PROFIT AFTER TAXATION</t>
  </si>
  <si>
    <t xml:space="preserve">  -Basic</t>
  </si>
  <si>
    <t xml:space="preserve"> -Diluted</t>
  </si>
  <si>
    <t xml:space="preserve"> </t>
  </si>
  <si>
    <t>CURRENT ASSETS</t>
  </si>
  <si>
    <t>Cash and bank balances</t>
  </si>
  <si>
    <t>CURRENT LIABILITIES</t>
  </si>
  <si>
    <t>Short term borrowings</t>
  </si>
  <si>
    <t>Taxation</t>
  </si>
  <si>
    <t>NET CURRENT ASSETS</t>
  </si>
  <si>
    <t>FINANCED BY:-</t>
  </si>
  <si>
    <t>SHARE CAPITAL</t>
  </si>
  <si>
    <t>Non-</t>
  </si>
  <si>
    <t>Distributable</t>
  </si>
  <si>
    <t>Total</t>
  </si>
  <si>
    <t>distributable</t>
  </si>
  <si>
    <t>Group</t>
  </si>
  <si>
    <t>Property, plant and equipment</t>
  </si>
  <si>
    <t>-   Malaysian taxation</t>
  </si>
  <si>
    <t>Page 3</t>
  </si>
  <si>
    <t>Interest income</t>
  </si>
  <si>
    <t>this announcement.</t>
  </si>
  <si>
    <t>qualification.</t>
  </si>
  <si>
    <t>The same accounting policies and methods of computation used in the preparation of the financial</t>
  </si>
  <si>
    <t>Total revenue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</si>
  <si>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</si>
  <si>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</si>
  <si>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</si>
  <si>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</si>
  <si>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</si>
  <si>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</si>
  <si>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</si>
  <si>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</si>
  <si>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</si>
  <si>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</si>
  <si>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</si>
  <si>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B1</t>
  </si>
  <si>
    <t>B2</t>
  </si>
  <si>
    <t>B3</t>
  </si>
  <si>
    <t xml:space="preserve">    SHAREHOLDERS OF THE COMPANY</t>
  </si>
  <si>
    <t>B4</t>
  </si>
  <si>
    <t>B5</t>
  </si>
  <si>
    <t>Current</t>
  </si>
  <si>
    <t>Quarter</t>
  </si>
  <si>
    <t>B8</t>
  </si>
  <si>
    <t>B7</t>
  </si>
  <si>
    <t>B6</t>
  </si>
  <si>
    <t>B9</t>
  </si>
  <si>
    <t>B10</t>
  </si>
  <si>
    <t>B11</t>
  </si>
  <si>
    <t>B12</t>
  </si>
  <si>
    <t>B13</t>
  </si>
  <si>
    <t>Unallocated corporate expenses</t>
  </si>
  <si>
    <t>DIVIDEND PER SHARE (SEN)</t>
  </si>
  <si>
    <t>(b)</t>
  </si>
  <si>
    <t>(i)</t>
  </si>
  <si>
    <t>(ii)</t>
  </si>
  <si>
    <t>(iii)</t>
  </si>
  <si>
    <t>External</t>
  </si>
  <si>
    <t>Inter-</t>
  </si>
  <si>
    <t>segment</t>
  </si>
  <si>
    <t>Share of results in associates</t>
  </si>
  <si>
    <t>Share</t>
  </si>
  <si>
    <t>Capital</t>
  </si>
  <si>
    <t>Subject:</t>
  </si>
  <si>
    <t>cc:</t>
  </si>
  <si>
    <t>Securities Commission</t>
  </si>
  <si>
    <t>CONDENSED CONSOLIDATED BALANCE SHEET</t>
  </si>
  <si>
    <t>Condensed Consolidated Balance Sheet</t>
  </si>
  <si>
    <t>Condensed Consolidated Income Statement</t>
  </si>
  <si>
    <t>Condensed Consolidated Statement of Changes in Equity</t>
  </si>
  <si>
    <t>Condensed Consolidated Cash Flow Statement</t>
  </si>
  <si>
    <t>Table of contents</t>
  </si>
  <si>
    <t>Page</t>
  </si>
  <si>
    <t>CONDENSED CONSOLIDATED INCOME STATEMENTS</t>
  </si>
  <si>
    <t>CONDENSED CONSOLIDATED CASH FLOW STATEMENT</t>
  </si>
  <si>
    <t>CONDENSED CONSOLIDATED STATEMENT OF CHANGES IN EQUITY</t>
  </si>
  <si>
    <t>Net assets per share (RM)</t>
  </si>
  <si>
    <t>Investment properties</t>
  </si>
  <si>
    <t>Investment in associated company</t>
  </si>
  <si>
    <t>Goodwill arising on consolidation</t>
  </si>
  <si>
    <t>RETAINED EARNINGS</t>
  </si>
  <si>
    <t>date of this announcement.</t>
  </si>
  <si>
    <t xml:space="preserve">Cash and bank balances </t>
  </si>
  <si>
    <t>Profit before tax</t>
  </si>
  <si>
    <t>Our business operations are not significantly affected by seasonal or cyclical factors except for</t>
  </si>
  <si>
    <t>Net cash generated from operating activities</t>
  </si>
  <si>
    <t>Net cash used in financing activities</t>
  </si>
  <si>
    <t>RESULTS</t>
  </si>
  <si>
    <t>Berjaya Sports Toto Berhad</t>
  </si>
  <si>
    <t>(Company no: 9109-K)</t>
  </si>
  <si>
    <t>PROFIT FROM OPERATIONS</t>
  </si>
  <si>
    <t>Long term investments</t>
  </si>
  <si>
    <t>Inventories</t>
  </si>
  <si>
    <t>Deposits with financial institutions</t>
  </si>
  <si>
    <t>SHARE PREMIUM</t>
  </si>
  <si>
    <t>EXCHANGE RESERVE</t>
  </si>
  <si>
    <t>Less : TREASURY SHARES</t>
  </si>
  <si>
    <t>DEFERRED LIABILITIES</t>
  </si>
  <si>
    <t>Treasury</t>
  </si>
  <si>
    <t>Shares</t>
  </si>
  <si>
    <t>Exchange difference</t>
  </si>
  <si>
    <t xml:space="preserve">Cash and cash equivalents carried forward comprise </t>
  </si>
  <si>
    <t>The details of the share buy-back are as follows :</t>
  </si>
  <si>
    <t>Month</t>
  </si>
  <si>
    <t>Price per share (RM)</t>
  </si>
  <si>
    <t>Lowest</t>
  </si>
  <si>
    <t>Highest</t>
  </si>
  <si>
    <t>Average</t>
  </si>
  <si>
    <t>Number of shares</t>
  </si>
  <si>
    <t>Total consideration</t>
  </si>
  <si>
    <t>Amount</t>
  </si>
  <si>
    <t>TOTAL</t>
  </si>
  <si>
    <t>are as follows :</t>
  </si>
  <si>
    <t>USD'000</t>
  </si>
  <si>
    <t>Unsecured</t>
  </si>
  <si>
    <t>Reduction due to repayment of loan</t>
  </si>
  <si>
    <t>-   Foreign countries taxation</t>
  </si>
  <si>
    <t>The particulars of the acquisition and disposal of quoted investments by the Group were as follows :</t>
  </si>
  <si>
    <t>announcement.</t>
  </si>
  <si>
    <t xml:space="preserve">On 23 January 2002, Berjaya Land Berhad ("BLB") gave the Company a written undertaking </t>
  </si>
  <si>
    <t>(RM'000)</t>
  </si>
  <si>
    <t xml:space="preserve">Income </t>
  </si>
  <si>
    <t>(sen)</t>
  </si>
  <si>
    <t xml:space="preserve">Earnings per share </t>
  </si>
  <si>
    <t>Basic earnings per share</t>
  </si>
  <si>
    <t xml:space="preserve">Number of shares used in  the </t>
  </si>
  <si>
    <t>Diluted earnings per share</t>
  </si>
  <si>
    <t xml:space="preserve">Weighted average number </t>
  </si>
  <si>
    <t xml:space="preserve">    of shares outstanding ('000)</t>
  </si>
  <si>
    <t xml:space="preserve">    calculation of diluted earnings per share</t>
  </si>
  <si>
    <t>Increase in net profit as a result of interest</t>
  </si>
  <si>
    <t xml:space="preserve">  expense saved from potential ICULS conversion</t>
  </si>
  <si>
    <t>Adjusted net profit for the period</t>
  </si>
  <si>
    <t>Number of shares from ICULS conversion</t>
  </si>
  <si>
    <t>Toto betting operations</t>
  </si>
  <si>
    <t>Operating profit</t>
  </si>
  <si>
    <t>Translation difference of</t>
  </si>
  <si>
    <t>foreign subsidiary companies</t>
  </si>
  <si>
    <t>Others</t>
  </si>
  <si>
    <t>Elimination : Intersegment Revenue</t>
  </si>
  <si>
    <t>Group (3-month period)</t>
  </si>
  <si>
    <t>our toto betting operations that may be positively impacted by the festive seasons.</t>
  </si>
  <si>
    <t>Net profit after tax</t>
  </si>
  <si>
    <t>The valuation of land and buildings have been brought forward without amendment from the previous</t>
  </si>
  <si>
    <t>Other than subsidiary companies with principal activities of property development, there were no</t>
  </si>
  <si>
    <t>Issue of shares</t>
  </si>
  <si>
    <t>Shares buyback</t>
  </si>
  <si>
    <t>Premium over ICULS bought back</t>
  </si>
  <si>
    <t xml:space="preserve">          PREMIUM OVER ICULS BOUGHT BACK ("PREMIUM")</t>
  </si>
  <si>
    <t xml:space="preserve">There is no pending material litigation since the last annual balance sheet date up to the date of </t>
  </si>
  <si>
    <t>The Group has not entered into any financial instruments with off balance sheet risk since the last</t>
  </si>
  <si>
    <t>annual balance sheet date up to the date of this announcement.</t>
  </si>
  <si>
    <t>OPERATING ACTIVITIES</t>
  </si>
  <si>
    <t>INVESTING ACTIVITIES</t>
  </si>
  <si>
    <t>Acquisition of property, plant and equipment</t>
  </si>
  <si>
    <t>FINANCING ACTIVITIES</t>
  </si>
  <si>
    <t>Issue of ordinary shares</t>
  </si>
  <si>
    <t>Other payments for financing activities</t>
  </si>
  <si>
    <t>Receipts from customers</t>
  </si>
  <si>
    <t>Disposal of property, plant and equipment</t>
  </si>
  <si>
    <t>Dividends paid</t>
  </si>
  <si>
    <t>Other receipt from investing activities</t>
  </si>
  <si>
    <t>ICULS - EQUITY COMPONENT</t>
  </si>
  <si>
    <t xml:space="preserve">           STOCKS 2002 / 2012 ("ICULS") - LIABILITY COMPONENT</t>
  </si>
  <si>
    <t>EQUITY FUNDS</t>
  </si>
  <si>
    <t>Pursuant to the resolution included in the Circular to Shareholders dated 5 April 2002, the Company</t>
  </si>
  <si>
    <t>has obtained the necessary approvals for the purchase of ICULS by the Company or any of its</t>
  </si>
  <si>
    <t xml:space="preserve">     - Dilutive</t>
  </si>
  <si>
    <t xml:space="preserve">     - Basic</t>
  </si>
  <si>
    <t xml:space="preserve">NET EQUITY FUNDS </t>
  </si>
  <si>
    <t>8% IRREDEEMABLE CONVERTIBLE UNSECURED LOAN</t>
  </si>
  <si>
    <t>CAPITAL FUNDS</t>
  </si>
  <si>
    <t>royalties and other operating expenses</t>
  </si>
  <si>
    <t xml:space="preserve">Payments to prize winners, suppliers, duties, taxes, </t>
  </si>
  <si>
    <t>ICULS interest paid</t>
  </si>
  <si>
    <t xml:space="preserve"> Basic  :  Net equity funds less ICULS - equity component divided by the number of outstanding shares in issue with voting rights.</t>
  </si>
  <si>
    <t>component</t>
  </si>
  <si>
    <t>ICULS-equity</t>
  </si>
  <si>
    <t>ICULS - equity component</t>
  </si>
  <si>
    <t>PROVISIONS</t>
  </si>
  <si>
    <t>The audit report of the Company's most recent annual audited financial statements does not contain any</t>
  </si>
  <si>
    <t>Liability</t>
  </si>
  <si>
    <t>Equity</t>
  </si>
  <si>
    <t>Conversion of ICULS into ordinary shares</t>
  </si>
  <si>
    <t>ICULS - liability component classified under other payables</t>
  </si>
  <si>
    <t>The status of conditions imposed by the Securities Commission pertaining to the issuance of ICULS</t>
  </si>
  <si>
    <t>Group level are as follows :</t>
  </si>
  <si>
    <t>Non-current</t>
  </si>
  <si>
    <t xml:space="preserve">    the following balance sheet amounts   :</t>
  </si>
  <si>
    <t xml:space="preserve">wholly-owned subsidiary of the Company has purchased a total of RM26,497,500 nominal value of </t>
  </si>
  <si>
    <t>ICULS from the open market for a total consideration of RM83.9 million. There was no subsequent</t>
  </si>
  <si>
    <t xml:space="preserve">announcement.  There is no cancellation of the ICULS by the Company as at the date of this </t>
  </si>
  <si>
    <t>NON-CURRENT ASSETS</t>
  </si>
  <si>
    <t>The net tangible assets per share is calculated based on the following :</t>
  </si>
  <si>
    <t>The net assets per share is calculated based on the following :</t>
  </si>
  <si>
    <t xml:space="preserve">profits / (losses) on sale of properties and there were no profits / (losses) on sale of unquoted investments </t>
  </si>
  <si>
    <t>Reserves</t>
  </si>
  <si>
    <t xml:space="preserve"> Dilutive  :  Net equity funds divided by the aggregate number of outstanding shares in issue with voting rights and potential </t>
  </si>
  <si>
    <t xml:space="preserve">Guarantee given to Noteholders for Secured </t>
  </si>
  <si>
    <t>On 14 August 2003, the Company announced that BLB has informed the Company of its intention</t>
  </si>
  <si>
    <t>to undertake a placement of up to 200 million ordinary shares of RM1.00 each in the Company</t>
  </si>
  <si>
    <t xml:space="preserve">with the primary objective of paying down the inter-company advances owing to the Company. </t>
  </si>
  <si>
    <t>Based on the results for the period:-</t>
  </si>
  <si>
    <t xml:space="preserve">As the Company has no immediate plans to redeploy such funds, the Board would propose to </t>
  </si>
  <si>
    <t>it undertakes to settle the outstanding advances within three years from the date of issue of the ICULS</t>
  </si>
  <si>
    <t xml:space="preserve">("Undertaking Letter") relating to the settlement arrangement for the inter-company advances whereby </t>
  </si>
  <si>
    <t>- First interim</t>
  </si>
  <si>
    <t>Distribution of dividends</t>
  </si>
  <si>
    <t>Cost of purchase</t>
  </si>
  <si>
    <t>Investment related income</t>
  </si>
  <si>
    <t>Treasury shares acquired</t>
  </si>
  <si>
    <t>The quarterly financial report is not audited and has been prepared in compliance with MASB 26, Interim</t>
  </si>
  <si>
    <t>The quarterly financial report should be read in conjunction with the audited financial statements of the</t>
  </si>
  <si>
    <t>There were no other unusual items as a result of their nature, size or incidence that had affected assets,</t>
  </si>
  <si>
    <t>DEFERRED TAX LIABILITIES</t>
  </si>
  <si>
    <t>distribute any surplus funds to its shareholders.  Subsequently on 11 February 2004, BLB announced</t>
  </si>
  <si>
    <t>a revision to its proposal to now undertake a placement of up to 200 million ordinary shares of</t>
  </si>
  <si>
    <t>placement of up to 200 million ordinary shares of RM1.00 each in the Company as announced earlier.</t>
  </si>
  <si>
    <t>Net tangible assets per share (RM)      - Basic</t>
  </si>
  <si>
    <t>Total quoted long term investments at cost</t>
  </si>
  <si>
    <t>Total quoted long term investments at book value</t>
  </si>
  <si>
    <t>Total quoted long term investments at market value</t>
  </si>
  <si>
    <t>Tax recoverable</t>
  </si>
  <si>
    <t xml:space="preserve">Financial Reporting.  </t>
  </si>
  <si>
    <t>Listing Requirements of Bursa Malaysia Securities Berhad</t>
  </si>
  <si>
    <t xml:space="preserve">Additional Information Required by </t>
  </si>
  <si>
    <t xml:space="preserve">Minority interests  </t>
  </si>
  <si>
    <t>Long term receivable</t>
  </si>
  <si>
    <t>Deferred tax assets</t>
  </si>
  <si>
    <t>Receivables</t>
  </si>
  <si>
    <t>Amount due from affiliated companies</t>
  </si>
  <si>
    <t>Payables</t>
  </si>
  <si>
    <t>Amount due to affiliated companies</t>
  </si>
  <si>
    <t xml:space="preserve">MINORITY INTERESTS </t>
  </si>
  <si>
    <t>At 1 May 2004</t>
  </si>
  <si>
    <t>At 1 May 2003</t>
  </si>
  <si>
    <t xml:space="preserve">CASH &amp; CASH EQUIVALENTS AT 1 MAY </t>
  </si>
  <si>
    <t xml:space="preserve">Repayment of borrowings </t>
  </si>
  <si>
    <t>Company for the year ended 30 April 2004.</t>
  </si>
  <si>
    <t>statements for the year ended 30 April 2004 have been applied in the preparation of the quarterly</t>
  </si>
  <si>
    <t>financial statements under review.</t>
  </si>
  <si>
    <t>There were no changes in estimates reported in the prior financial year that had a material effect in</t>
  </si>
  <si>
    <t>June 2004</t>
  </si>
  <si>
    <t>July 2004</t>
  </si>
  <si>
    <t>Balance as at 1 May 2004</t>
  </si>
  <si>
    <t>Notes to the Quarterly Financial Report</t>
  </si>
  <si>
    <t>The annexed notes form an integral part of this quarterly financial report.</t>
  </si>
  <si>
    <t>NOTES TO THE QUARTERLY FINANCIAL REPORT</t>
  </si>
  <si>
    <t xml:space="preserve">Accumulated liability component of ICULS extinguished </t>
  </si>
  <si>
    <t>annual report as no revaluation has been carried out since 30 April 2004.</t>
  </si>
  <si>
    <t>including business combination, acquisition or disposal of subsidiaries and long term investments,</t>
  </si>
  <si>
    <t xml:space="preserve">The changes in contingent liabilities since the last audited balance sheet date as at 30 April 2004 </t>
  </si>
  <si>
    <t>ADDITIONAL INFORMATION REQUIRED BY LISTING REQUIREMENTS OF BURSA</t>
  </si>
  <si>
    <t>MALAYSIA SECURITIES BERHAD</t>
  </si>
  <si>
    <t>the statutory tax rate mainly due to certain expenses being disallowed for taxation purposes.</t>
  </si>
  <si>
    <t>30-4-2004</t>
  </si>
  <si>
    <t xml:space="preserve">  Floating Rate Notes issued by an affiliated company :</t>
  </si>
  <si>
    <t>Guarantee given to a financial institution for facility granted to an affiliated company :</t>
  </si>
  <si>
    <t>ICULS bought back by a subsidiary company</t>
  </si>
  <si>
    <t>Acquisition of other investments, including</t>
  </si>
  <si>
    <t xml:space="preserve">the open market.  The cumulative shares bought back are being held as treasury shares with none of the </t>
  </si>
  <si>
    <t>August 2004</t>
  </si>
  <si>
    <t>September 2004</t>
  </si>
  <si>
    <t>October 2004</t>
  </si>
  <si>
    <t xml:space="preserve">On 31 May 2004, the Company paid the second interim dividend in respect of the financial year </t>
  </si>
  <si>
    <t>ended 30 April 2004, of 20 sen per share on 1,000,487,561 ordinary shares with voting rights,</t>
  </si>
  <si>
    <t>less income tax of 28% amounting to RM144,070,208.</t>
  </si>
  <si>
    <t>On 15 October 2004, the Company paid the first interim dividend in respect of the financial year</t>
  </si>
  <si>
    <t>income tax of 28% amounting to RM70,486,606.</t>
  </si>
  <si>
    <t>Investment related expenses</t>
  </si>
  <si>
    <t>Share of results of associated company</t>
  </si>
  <si>
    <t>Other receipts</t>
  </si>
  <si>
    <t>- Second interim</t>
  </si>
  <si>
    <t xml:space="preserve">                 conversion of ICULS to shares.</t>
  </si>
  <si>
    <t>Based on the number of RM1.00 fully paid ordinary shares in issue and with voting rights as at</t>
  </si>
  <si>
    <t>Transfer to deferred tax liability</t>
  </si>
  <si>
    <t>- Third interim</t>
  </si>
  <si>
    <t>Purchase of treasury shares by a subsidiary company</t>
  </si>
  <si>
    <t>Net cash generated from investing activities</t>
  </si>
  <si>
    <t>January 2005</t>
  </si>
  <si>
    <t>On 13 January 2005, the Company paid the second interim dividend in respect of the financial year</t>
  </si>
  <si>
    <t>RM1.00 each and / or up to RM200 million nominal value of ICULS in the Company instead of only a</t>
  </si>
  <si>
    <t>income tax of 28% amounting to RM55,760,480.</t>
  </si>
  <si>
    <t>PROFIT / (LOSS) ATTRIBUTABLE TO</t>
  </si>
  <si>
    <t>12 months ended</t>
  </si>
  <si>
    <t>Prior year adjustment</t>
  </si>
  <si>
    <t>As at 1 May 2003 (restated)</t>
  </si>
  <si>
    <t>12-month ended</t>
  </si>
  <si>
    <t>shares being cancelled or resold during the fourth quarter ended 30 April 2005.</t>
  </si>
  <si>
    <t>During the fourth quarter ended 30 April 2005, a total of 171,952,437 new ordinary shares of RM1.00</t>
  </si>
  <si>
    <t>each were issued when RM171,952,437 ICULS were converted into shares at the rate of RM1.00</t>
  </si>
  <si>
    <t>nominal value of ICULS plus RM0.20 in cash for every one fully paid ordinary share. A total of 3,250</t>
  </si>
  <si>
    <t xml:space="preserve">new ordinary shares of RM1.00 each were issued via the conversion of RM3,900 ICULS at the rate </t>
  </si>
  <si>
    <t>of RM1.20 nominal value of ICULS for every one fully paid ordinary share.</t>
  </si>
  <si>
    <t>February 2005</t>
  </si>
  <si>
    <t xml:space="preserve">During the fourth quarter ended 30 April 2005, a total of 5,491,000 shares were bought back from </t>
  </si>
  <si>
    <t>The number of treasury shares held in hand as at 30 April 2005 are as follows :</t>
  </si>
  <si>
    <t>Total treasury shares as at 30 April 2005</t>
  </si>
  <si>
    <t>As at 30 April 2005, the number of outstanding shares in issue and fully paid with voting rights</t>
  </si>
  <si>
    <t>was 1,133,504,815 (30 April 2004 : 1,000,487,561) ordinary shares of RM1.00 each.</t>
  </si>
  <si>
    <t>Balance as at 30 April 2005</t>
  </si>
  <si>
    <t>The outstanding ICULS at Company level as at 30 April 2005 are as follows :</t>
  </si>
  <si>
    <t>Non-current ICULS balance as at 30 April 2005 at Group level</t>
  </si>
  <si>
    <t>Accumulated ICULS bought back by a subsidiary company as at 30 Apr 2005</t>
  </si>
  <si>
    <t>Total ICULS balance as at 30 April 2005 at Company level</t>
  </si>
  <si>
    <t>There was no provision of profit forecast in a public document and no provision of profit guarantee by the</t>
  </si>
  <si>
    <t>group during the year under review.</t>
  </si>
  <si>
    <t xml:space="preserve">Barring unforeseen circumstances, the Directors expect that the overall consumer spending will </t>
  </si>
  <si>
    <t xml:space="preserve">continue to increase and thus anticipate that the performance of the Group for the financial year ending </t>
  </si>
  <si>
    <t>30 April 2006 will be good.</t>
  </si>
  <si>
    <t>30-4-2005</t>
  </si>
  <si>
    <t>Group (12-month period)</t>
  </si>
  <si>
    <t xml:space="preserve"> </t>
  </si>
  <si>
    <r>
      <t>Sports Toto Malaysia Sdn Bhd ("Sports Toto"), the principal subsidiary, posted an increase of 13.4%</t>
    </r>
    <r>
      <rPr>
        <sz val="11"/>
        <rFont val="Times New Roman"/>
        <family val="1"/>
      </rPr>
      <t xml:space="preserve"> in </t>
    </r>
  </si>
  <si>
    <t>For the year ended 30 April 2005, the Group achieved an increase in revenue and pre-tax profit of 7.8%</t>
  </si>
  <si>
    <t>The principal subsidiary, Sports Toto, recorded a growth in revenue of 8.0% as compared to the previous</t>
  </si>
  <si>
    <t>As compared to the preceding quarter ended 31 January 2005, the Group achieved an increase in revenue</t>
  </si>
  <si>
    <t xml:space="preserve">As compared to preceding quarter ended 31 January 2005, Sports Toto registered an increase in revenue </t>
  </si>
  <si>
    <t>recorded in February 2005.</t>
  </si>
  <si>
    <t>ended 30 April 2005</t>
  </si>
  <si>
    <t>B5</t>
  </si>
  <si>
    <t>The effective tax rate on the Group's profit for financial period ended 30 April 2005 was higher than</t>
  </si>
  <si>
    <t>At 30 April 2005</t>
  </si>
  <si>
    <t>At 30 April 2004</t>
  </si>
  <si>
    <t>UNAUDITED QUARTERLY FINANCIAL REPORT FOR THE YEAR ENDED 30 APRIL 2005</t>
  </si>
  <si>
    <t>- Fourth interim</t>
  </si>
  <si>
    <t>CASH &amp; CASH EQUIVALENTS AT 30 APRIL</t>
  </si>
  <si>
    <t xml:space="preserve"> Basic  :  Net equity funds less goodwill on consolidation and ICULS - equity component divided by the number of outstanding </t>
  </si>
  <si>
    <t xml:space="preserve"> Dilutive  :  Net equity funds less goodwill on consolidation divided by the aggregate number of outstanding shares in issue with</t>
  </si>
  <si>
    <t xml:space="preserve">                 voting rights and potential conversion of ICULS to shares.</t>
  </si>
  <si>
    <t>Acquisition of investment in associated company</t>
  </si>
  <si>
    <t>the current year.</t>
  </si>
  <si>
    <t xml:space="preserve">conversion were 174,517,254 (including the 2,561,567 new ordinary shares issued as a result of the </t>
  </si>
  <si>
    <t xml:space="preserve">For the year ended 30 April 2005, the total new ordinary shares issued as a result of the ICULS </t>
  </si>
  <si>
    <t xml:space="preserve">ICULS conversion in the third quarter ended 31 January 2005).  The cumulative shares bought back </t>
  </si>
  <si>
    <t>for the financial year ended 30 April 2005 was 41,500,000.</t>
  </si>
  <si>
    <t>Increase in treasury shares for the year</t>
  </si>
  <si>
    <t>The movements of the non-current ICULS during the financial year ended 30 April 2005 at</t>
  </si>
  <si>
    <t>Adjustment of ICULS - Liability component</t>
  </si>
  <si>
    <t xml:space="preserve">  classified under current liability</t>
  </si>
  <si>
    <t>During the financial year ended 30 April 2005, the Company had paid the following dividends :</t>
  </si>
  <si>
    <t>ended 30 April 2005, of 10 sen per share on 978,980,632 ordinary shares with voting rights, less</t>
  </si>
  <si>
    <t>ended 30 April 2005, of 8 sen per share on 968,063,886 ordinary shares with voting rights, less</t>
  </si>
  <si>
    <t>(iv)</t>
  </si>
  <si>
    <t xml:space="preserve">On 5 April 2005, the Company paid the third interim dividend in respect of the financial year </t>
  </si>
  <si>
    <t>ended 30 April 2005, of 16 sen per share on 1,105,418,263 ordinary shares with voting rights, less</t>
  </si>
  <si>
    <t>income tax of 28% amounting to RM127,344,183.</t>
  </si>
  <si>
    <t>Subsequent to the financial year ended 30 April 2005, the Company had on 1 June 2005 paid the</t>
  </si>
  <si>
    <t>fourth interim dividend in respect of the financial year ended 30 April 2005, of 11 sen per share</t>
  </si>
  <si>
    <t xml:space="preserve">on 1,133,504,815 ordinary shares with voting rights, less income tax of 28% amounting to </t>
  </si>
  <si>
    <t>There were no material subsequent events for the financial  year ended 30 April 2005 up to the</t>
  </si>
  <si>
    <t>Balance as at 1 May 2004</t>
  </si>
  <si>
    <t>Reduction due to repayment of facility</t>
  </si>
  <si>
    <t>Balance as at 30 April 2005</t>
  </si>
  <si>
    <t>Financial year</t>
  </si>
  <si>
    <t>(a)</t>
  </si>
  <si>
    <t>Investments in quoted securities as at 30 April 2005 were as follows :</t>
  </si>
  <si>
    <t>The acquisition of quoted securities during the financial year ended 30 April 2005 are as follows :</t>
  </si>
  <si>
    <t xml:space="preserve">wholly-owned subsidiaries up to an amount not exceeding RM1.2 billion.  As at 30 April 2005, a </t>
  </si>
  <si>
    <t>purchase of additional ICULS after the financial year ended 30 April 2005 up to the date of this</t>
  </si>
  <si>
    <t xml:space="preserve">million upon BLB's repayment of RM163 million in the third quarter ended 31 January 2005 and </t>
  </si>
  <si>
    <t>RM109.091 million in the current quarter ended 30 April 2005. Subsequent to the financial year ended</t>
  </si>
  <si>
    <t>Segmental revenue and results for the financial year ended 30 April 2005 were as follows :</t>
  </si>
  <si>
    <t>Investment related income</t>
  </si>
  <si>
    <t>There were no changes in the composition of the Company for the current year ended 30 April 2005</t>
  </si>
  <si>
    <t>restructuring and discontinuing operations except for the following :</t>
  </si>
  <si>
    <t>(i)</t>
  </si>
  <si>
    <t xml:space="preserve">the subscription of 17,500 ordinary shares of Php100 each representing 35% equity interest in </t>
  </si>
  <si>
    <t>(ii)</t>
  </si>
  <si>
    <t>On 7 March 2005, Berjaya Lottery Management (HK) Limited ("BLM"), a subsidiary of the Company</t>
  </si>
  <si>
    <t xml:space="preserve">has implemented its proposed rights issue of HKD 500 million of HKD 1 each (equivalent to </t>
  </si>
  <si>
    <t>(iii)</t>
  </si>
  <si>
    <t>year ended 30 April 2005.</t>
  </si>
  <si>
    <t>Number of shares from ICULS conversion</t>
  </si>
  <si>
    <t>RM89,773,582.</t>
  </si>
  <si>
    <t>Taxation</t>
  </si>
  <si>
    <t xml:space="preserve">As compared to the corresponding quarter ended 30 April 2004, the Group achieved an increase of </t>
  </si>
  <si>
    <t>revenue and an increase of 20.2% in pre-tax profit as compared to the corresponding quarter.  The</t>
  </si>
  <si>
    <t>review and also due to the benefit of the traditionally higher sales from the Chinese New Year festival</t>
  </si>
  <si>
    <t xml:space="preserve">    International Berhad amounting to RM6.036 million as explained in Note A11.</t>
  </si>
  <si>
    <t>NET (DECREASE)/INCREASE IN CASH AND CASH EQUIVALENTS</t>
  </si>
  <si>
    <t>Repayment from affiliated companies</t>
  </si>
  <si>
    <t xml:space="preserve">              shares in issue with voting rights.</t>
  </si>
  <si>
    <t>year.  The improvement was mainly attributed to four additional draws in the current financial year compared</t>
  </si>
  <si>
    <t>for diminution in value of long term investments made in the current quarter.</t>
  </si>
  <si>
    <t>in February 2005. The higher increase in pre-tax profit as compared to revenue was attributed to improved</t>
  </si>
  <si>
    <t>margins arising from a better sales mix.</t>
  </si>
  <si>
    <t xml:space="preserve">current quarter ended 30 April 2005. </t>
  </si>
  <si>
    <t>The contingent asset of liquidated ascertained damages from a company in which a director has an interest</t>
  </si>
  <si>
    <t>which was disclosed in Note 39 of the 2004 Annual Report was settled in March 2005 whereby a total of</t>
  </si>
  <si>
    <t>8.749 million ordinary shares of Matrix International Berhad was received for the compensation.</t>
  </si>
  <si>
    <t>ended 30 April 2005 was RM89.8 million. This will bring the total net dividend distribution</t>
  </si>
  <si>
    <t>Section 64 of the Companies' Act, 1965.</t>
  </si>
  <si>
    <t>Malaya confirming the capital distribution pursuant to the Section 64 of the Companies' Act, 1965.</t>
  </si>
  <si>
    <t>for the financial year ended 30 April 2005 to RM343.4 million, representing about 102.5% of the</t>
  </si>
  <si>
    <t>attributable profits of the Group.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</si>
</sst>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);[Red]\(0.00\)"/>
    <numFmt numFmtId="177" formatCode="_(* #,##0.000_);_(* \(#,##0.000\);_(* &quot;-&quot;??_);_(@_)"/>
    <numFmt numFmtId="178" formatCode="_(* #,##0.0_);_(* \(#,##0.0\);_(* &quot;-&quot;??_);_(@_)"/>
    <numFmt numFmtId="179" formatCode="_(* #,##0_);_(* \(#,##0\);_(* &quot;-&quot;??_);_(@_)"/>
    <numFmt numFmtId="180" formatCode="_(* #,##0.0000_);_(* \(#,##0.0000\);_(* &quot;-&quot;??_);_(@_)"/>
    <numFmt numFmtId="181" formatCode="_(* #,##0.00000_);_(* \(#,##0.00000\);_(* &quot;-&quot;??_);_(@_)"/>
    <numFmt numFmtId="182" formatCode="_(* #,##0.000000_);_(* \(#,##0.000000\);_(* &quot;-&quot;??_);_(@_)"/>
    <numFmt numFmtId="183" formatCode="dd\ mmm"/>
    <numFmt numFmtId="184" formatCode="dd/mmm/yyyy"/>
    <numFmt numFmtId="185" formatCode="0.000"/>
  </numFmts>
  <fonts count="14"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i/>
      <sz val="11"/>
      <name val="Times New Roman"/>
      <family val="1"/>
    </font>
    <font>
      <sz val="11"/>
      <color indexed="10"/>
      <name val="Times New Roman"/>
      <family val="1"/>
    </font>
    <font>
      <i/>
      <sz val="11"/>
      <color indexed="10"/>
      <name val="Times New Roman"/>
      <family val="1"/>
    </font>
    <font>
      <u val="single"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1"/>
      <color indexed="48"/>
      <name val="Times New Roman"/>
      <family val="1"/>
    </font>
    <font>
      <sz val="8"/>
      <name val="Times New Roman"/>
      <family val="1"/>
    </font>
    <font>
      <sz val="9"/>
      <name val="細明體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7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Alignment="1">
      <alignment/>
    </xf>
    <xf numFmtId="0" fontId="2" fillId="0" borderId="2" xfId="0" applyFont="1" applyBorder="1" applyAlignment="1">
      <alignment/>
    </xf>
    <xf numFmtId="0" fontId="2" fillId="0" borderId="2" xfId="0" applyFont="1" applyFill="1" applyBorder="1" applyAlignment="1">
      <alignment/>
    </xf>
    <xf numFmtId="0" fontId="1" fillId="0" borderId="0" xfId="0" applyFont="1" applyBorder="1" applyAlignment="1">
      <alignment/>
    </xf>
    <xf numFmtId="15" fontId="1" fillId="0" borderId="0" xfId="0" applyNumberFormat="1" applyFont="1" applyFill="1" applyBorder="1" applyAlignment="1" quotePrefix="1">
      <alignment horizontal="center"/>
    </xf>
    <xf numFmtId="0" fontId="2" fillId="0" borderId="1" xfId="0" applyFont="1" applyBorder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179" fontId="1" fillId="0" borderId="0" xfId="15" applyNumberFormat="1" applyFont="1" applyFill="1" applyBorder="1" applyAlignment="1">
      <alignment horizontal="center"/>
    </xf>
    <xf numFmtId="41" fontId="2" fillId="0" borderId="0" xfId="15" applyNumberFormat="1" applyFont="1" applyFill="1" applyBorder="1" applyAlignment="1">
      <alignment horizontal="right"/>
    </xf>
    <xf numFmtId="41" fontId="2" fillId="0" borderId="0" xfId="15" applyNumberFormat="1" applyFont="1" applyFill="1" applyBorder="1" applyAlignment="1">
      <alignment/>
    </xf>
    <xf numFmtId="41" fontId="2" fillId="0" borderId="2" xfId="15" applyNumberFormat="1" applyFont="1" applyFill="1" applyBorder="1" applyAlignment="1">
      <alignment/>
    </xf>
    <xf numFmtId="0" fontId="2" fillId="0" borderId="3" xfId="0" applyFont="1" applyBorder="1" applyAlignment="1">
      <alignment/>
    </xf>
    <xf numFmtId="0" fontId="2" fillId="0" borderId="3" xfId="0" applyFont="1" applyBorder="1" applyAlignment="1">
      <alignment vertical="top"/>
    </xf>
    <xf numFmtId="0" fontId="1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41" fontId="2" fillId="0" borderId="2" xfId="15" applyNumberFormat="1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41" fontId="2" fillId="0" borderId="1" xfId="15" applyNumberFormat="1" applyFont="1" applyFill="1" applyBorder="1" applyAlignment="1">
      <alignment/>
    </xf>
    <xf numFmtId="41" fontId="2" fillId="0" borderId="4" xfId="15" applyNumberFormat="1" applyFont="1" applyFill="1" applyBorder="1" applyAlignment="1">
      <alignment/>
    </xf>
    <xf numFmtId="41" fontId="2" fillId="0" borderId="0" xfId="15" applyNumberFormat="1" applyFont="1" applyFill="1" applyAlignment="1">
      <alignment/>
    </xf>
    <xf numFmtId="0" fontId="2" fillId="0" borderId="4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/>
    </xf>
    <xf numFmtId="41" fontId="2" fillId="0" borderId="5" xfId="15" applyNumberFormat="1" applyFont="1" applyFill="1" applyBorder="1" applyAlignment="1">
      <alignment/>
    </xf>
    <xf numFmtId="0" fontId="2" fillId="0" borderId="0" xfId="0" applyFont="1" applyBorder="1" applyAlignment="1">
      <alignment vertical="top"/>
    </xf>
    <xf numFmtId="41" fontId="2" fillId="0" borderId="6" xfId="15" applyNumberFormat="1" applyFont="1" applyFill="1" applyBorder="1" applyAlignment="1">
      <alignment/>
    </xf>
    <xf numFmtId="41" fontId="2" fillId="0" borderId="3" xfId="15" applyNumberFormat="1" applyFont="1" applyFill="1" applyBorder="1" applyAlignment="1">
      <alignment/>
    </xf>
    <xf numFmtId="41" fontId="2" fillId="0" borderId="7" xfId="15" applyNumberFormat="1" applyFont="1" applyFill="1" applyBorder="1" applyAlignment="1">
      <alignment/>
    </xf>
    <xf numFmtId="41" fontId="2" fillId="0" borderId="8" xfId="15" applyNumberFormat="1" applyFont="1" applyFill="1" applyBorder="1" applyAlignment="1">
      <alignment/>
    </xf>
    <xf numFmtId="41" fontId="2" fillId="0" borderId="9" xfId="15" applyNumberFormat="1" applyFont="1" applyFill="1" applyBorder="1" applyAlignment="1">
      <alignment vertical="top"/>
    </xf>
    <xf numFmtId="41" fontId="2" fillId="0" borderId="10" xfId="15" applyNumberFormat="1" applyFont="1" applyFill="1" applyBorder="1" applyAlignment="1">
      <alignment/>
    </xf>
    <xf numFmtId="41" fontId="2" fillId="0" borderId="11" xfId="15" applyNumberFormat="1" applyFont="1" applyFill="1" applyBorder="1" applyAlignment="1">
      <alignment vertical="top"/>
    </xf>
    <xf numFmtId="179" fontId="1" fillId="0" borderId="0" xfId="15" applyNumberFormat="1" applyFont="1" applyAlignment="1">
      <alignment/>
    </xf>
    <xf numFmtId="179" fontId="2" fillId="0" borderId="0" xfId="15" applyNumberFormat="1" applyFont="1" applyAlignment="1">
      <alignment/>
    </xf>
    <xf numFmtId="179" fontId="1" fillId="0" borderId="0" xfId="15" applyNumberFormat="1" applyFont="1" applyAlignment="1">
      <alignment horizontal="center"/>
    </xf>
    <xf numFmtId="179" fontId="2" fillId="0" borderId="1" xfId="15" applyNumberFormat="1" applyFont="1" applyBorder="1" applyAlignment="1">
      <alignment vertical="center"/>
    </xf>
    <xf numFmtId="179" fontId="2" fillId="2" borderId="1" xfId="15" applyNumberFormat="1" applyFont="1" applyFill="1" applyBorder="1" applyAlignment="1">
      <alignment vertical="center"/>
    </xf>
    <xf numFmtId="179" fontId="2" fillId="2" borderId="0" xfId="15" applyNumberFormat="1" applyFont="1" applyFill="1" applyAlignment="1">
      <alignment/>
    </xf>
    <xf numFmtId="179" fontId="2" fillId="0" borderId="2" xfId="15" applyNumberFormat="1" applyFont="1" applyBorder="1" applyAlignment="1">
      <alignment/>
    </xf>
    <xf numFmtId="179" fontId="2" fillId="2" borderId="2" xfId="15" applyNumberFormat="1" applyFont="1" applyFill="1" applyBorder="1" applyAlignment="1">
      <alignment/>
    </xf>
    <xf numFmtId="179" fontId="2" fillId="0" borderId="2" xfId="15" applyNumberFormat="1" applyFont="1" applyBorder="1" applyAlignment="1">
      <alignment vertical="top"/>
    </xf>
    <xf numFmtId="179" fontId="2" fillId="2" borderId="2" xfId="15" applyNumberFormat="1" applyFont="1" applyFill="1" applyBorder="1" applyAlignment="1">
      <alignment vertical="top"/>
    </xf>
    <xf numFmtId="179" fontId="2" fillId="0" borderId="1" xfId="15" applyNumberFormat="1" applyFont="1" applyBorder="1" applyAlignment="1">
      <alignment/>
    </xf>
    <xf numFmtId="179" fontId="2" fillId="2" borderId="1" xfId="15" applyNumberFormat="1" applyFont="1" applyFill="1" applyBorder="1" applyAlignment="1">
      <alignment/>
    </xf>
    <xf numFmtId="43" fontId="2" fillId="2" borderId="0" xfId="15" applyNumberFormat="1" applyFont="1" applyFill="1" applyAlignment="1">
      <alignment/>
    </xf>
    <xf numFmtId="43" fontId="2" fillId="0" borderId="0" xfId="15" applyNumberFormat="1" applyFont="1" applyAlignment="1">
      <alignment/>
    </xf>
    <xf numFmtId="179" fontId="2" fillId="0" borderId="0" xfId="15" applyNumberFormat="1" applyFont="1" applyAlignment="1">
      <alignment horizontal="center"/>
    </xf>
    <xf numFmtId="0" fontId="1" fillId="0" borderId="0" xfId="15" applyNumberFormat="1" applyFont="1" applyAlignment="1">
      <alignment/>
    </xf>
    <xf numFmtId="0" fontId="4" fillId="0" borderId="0" xfId="15" applyNumberFormat="1" applyFont="1" applyAlignment="1">
      <alignment/>
    </xf>
    <xf numFmtId="0" fontId="2" fillId="0" borderId="0" xfId="15" applyNumberFormat="1" applyFont="1" applyAlignment="1">
      <alignment/>
    </xf>
    <xf numFmtId="0" fontId="2" fillId="0" borderId="0" xfId="15" applyNumberFormat="1" applyFont="1" applyAlignment="1" quotePrefix="1">
      <alignment/>
    </xf>
    <xf numFmtId="0" fontId="5" fillId="0" borderId="0" xfId="15" applyNumberFormat="1" applyFont="1" applyAlignment="1">
      <alignment/>
    </xf>
    <xf numFmtId="0" fontId="2" fillId="0" borderId="0" xfId="0" applyFont="1" applyAlignment="1" quotePrefix="1">
      <alignment/>
    </xf>
    <xf numFmtId="0" fontId="2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179" fontId="2" fillId="0" borderId="0" xfId="15" applyNumberFormat="1" applyFont="1" applyAlignment="1">
      <alignment horizontal="center" vertical="center"/>
    </xf>
    <xf numFmtId="179" fontId="7" fillId="0" borderId="0" xfId="15" applyNumberFormat="1" applyFont="1" applyAlignment="1">
      <alignment/>
    </xf>
    <xf numFmtId="0" fontId="2" fillId="0" borderId="0" xfId="15" applyNumberFormat="1" applyFont="1" applyAlignment="1">
      <alignment horizontal="left"/>
    </xf>
    <xf numFmtId="179" fontId="7" fillId="0" borderId="0" xfId="15" applyNumberFormat="1" applyFont="1" applyBorder="1" applyAlignment="1">
      <alignment horizontal="center"/>
    </xf>
    <xf numFmtId="179" fontId="2" fillId="0" borderId="0" xfId="15" applyNumberFormat="1" applyFont="1" applyBorder="1" applyAlignment="1">
      <alignment/>
    </xf>
    <xf numFmtId="179" fontId="7" fillId="0" borderId="0" xfId="15" applyNumberFormat="1" applyFont="1" applyAlignment="1">
      <alignment horizontal="center"/>
    </xf>
    <xf numFmtId="0" fontId="6" fillId="0" borderId="0" xfId="15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2" xfId="0" applyFont="1" applyBorder="1" applyAlignment="1">
      <alignment/>
    </xf>
    <xf numFmtId="0" fontId="2" fillId="0" borderId="0" xfId="15" applyNumberFormat="1" applyFont="1" applyAlignment="1">
      <alignment horizontal="center" vertical="center"/>
    </xf>
    <xf numFmtId="0" fontId="2" fillId="0" borderId="0" xfId="15" applyNumberFormat="1" applyFont="1" applyAlignment="1">
      <alignment horizontal="center" vertical="justify" wrapText="1"/>
    </xf>
    <xf numFmtId="179" fontId="2" fillId="0" borderId="0" xfId="15" applyNumberFormat="1" applyFont="1" applyAlignment="1">
      <alignment/>
    </xf>
    <xf numFmtId="179" fontId="2" fillId="0" borderId="0" xfId="15" applyNumberFormat="1" applyFont="1" applyAlignment="1" quotePrefix="1">
      <alignment horizontal="center"/>
    </xf>
    <xf numFmtId="179" fontId="2" fillId="0" borderId="0" xfId="15" applyNumberFormat="1" applyFont="1" applyAlignment="1">
      <alignment horizontal="right"/>
    </xf>
    <xf numFmtId="0" fontId="5" fillId="0" borderId="0" xfId="0" applyFont="1" applyBorder="1" applyAlignment="1" quotePrefix="1">
      <alignment/>
    </xf>
    <xf numFmtId="179" fontId="2" fillId="0" borderId="0" xfId="15" applyNumberFormat="1" applyFont="1" applyBorder="1" applyAlignment="1">
      <alignment horizontal="right"/>
    </xf>
    <xf numFmtId="179" fontId="2" fillId="0" borderId="12" xfId="15" applyNumberFormat="1" applyFont="1" applyBorder="1" applyAlignment="1">
      <alignment/>
    </xf>
    <xf numFmtId="179" fontId="2" fillId="0" borderId="13" xfId="15" applyNumberFormat="1" applyFont="1" applyBorder="1" applyAlignment="1">
      <alignment/>
    </xf>
    <xf numFmtId="179" fontId="2" fillId="0" borderId="0" xfId="15" applyNumberFormat="1" applyFont="1" applyAlignment="1">
      <alignment horizontal="left" indent="1"/>
    </xf>
    <xf numFmtId="179" fontId="2" fillId="0" borderId="0" xfId="15" applyNumberFormat="1" applyFont="1" applyBorder="1" applyAlignment="1">
      <alignment/>
    </xf>
    <xf numFmtId="0" fontId="2" fillId="0" borderId="1" xfId="15" applyNumberFormat="1" applyFont="1" applyBorder="1" applyAlignment="1">
      <alignment vertical="center"/>
    </xf>
    <xf numFmtId="0" fontId="2" fillId="0" borderId="2" xfId="15" applyNumberFormat="1" applyFont="1" applyBorder="1" applyAlignment="1">
      <alignment/>
    </xf>
    <xf numFmtId="0" fontId="2" fillId="0" borderId="2" xfId="15" applyNumberFormat="1" applyFont="1" applyBorder="1" applyAlignment="1">
      <alignment vertical="top"/>
    </xf>
    <xf numFmtId="0" fontId="2" fillId="0" borderId="1" xfId="15" applyNumberFormat="1" applyFont="1" applyBorder="1" applyAlignment="1">
      <alignment/>
    </xf>
    <xf numFmtId="0" fontId="1" fillId="0" borderId="0" xfId="0" applyNumberFormat="1" applyFont="1" applyAlignment="1">
      <alignment/>
    </xf>
    <xf numFmtId="179" fontId="2" fillId="0" borderId="0" xfId="15" applyNumberFormat="1" applyFont="1" applyAlignment="1">
      <alignment horizontal="left"/>
    </xf>
    <xf numFmtId="179" fontId="2" fillId="0" borderId="2" xfId="15" applyNumberFormat="1" applyFont="1" applyBorder="1" applyAlignment="1">
      <alignment horizontal="left"/>
    </xf>
    <xf numFmtId="179" fontId="2" fillId="0" borderId="1" xfId="15" applyNumberFormat="1" applyFont="1" applyBorder="1" applyAlignment="1">
      <alignment horizontal="left"/>
    </xf>
    <xf numFmtId="0" fontId="2" fillId="0" borderId="0" xfId="15" applyNumberFormat="1" applyFont="1" applyAlignment="1">
      <alignment/>
    </xf>
    <xf numFmtId="0" fontId="2" fillId="0" borderId="2" xfId="0" applyFont="1" applyBorder="1" applyAlignment="1">
      <alignment horizontal="center"/>
    </xf>
    <xf numFmtId="179" fontId="2" fillId="0" borderId="2" xfId="15" applyNumberFormat="1" applyFont="1" applyBorder="1" applyAlignment="1">
      <alignment horizontal="right"/>
    </xf>
    <xf numFmtId="179" fontId="5" fillId="0" borderId="0" xfId="15" applyNumberFormat="1" applyFont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0" fontId="2" fillId="0" borderId="0" xfId="0" applyFont="1" applyAlignment="1">
      <alignment horizontal="left"/>
    </xf>
    <xf numFmtId="0" fontId="7" fillId="0" borderId="0" xfId="0" applyFont="1" applyAlignment="1">
      <alignment/>
    </xf>
    <xf numFmtId="0" fontId="2" fillId="0" borderId="0" xfId="0" applyFont="1" applyAlignment="1" quotePrefix="1">
      <alignment horizontal="right"/>
    </xf>
    <xf numFmtId="17" fontId="2" fillId="0" borderId="0" xfId="0" applyNumberFormat="1" applyFont="1" applyAlignment="1" quotePrefix="1">
      <alignment horizontal="right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vertical="top"/>
    </xf>
    <xf numFmtId="14" fontId="2" fillId="0" borderId="0" xfId="0" applyNumberFormat="1" applyFont="1" applyAlignment="1">
      <alignment/>
    </xf>
    <xf numFmtId="14" fontId="2" fillId="0" borderId="0" xfId="0" applyNumberFormat="1" applyFont="1" applyAlignment="1">
      <alignment/>
    </xf>
    <xf numFmtId="43" fontId="2" fillId="0" borderId="0" xfId="15" applyFont="1" applyFill="1" applyAlignment="1">
      <alignment/>
    </xf>
    <xf numFmtId="0" fontId="1" fillId="0" borderId="0" xfId="0" applyFont="1" applyBorder="1" applyAlignment="1">
      <alignment vertical="center"/>
    </xf>
    <xf numFmtId="41" fontId="2" fillId="0" borderId="0" xfId="15" applyNumberFormat="1" applyFont="1" applyFill="1" applyBorder="1" applyAlignment="1">
      <alignment vertical="center"/>
    </xf>
    <xf numFmtId="14" fontId="2" fillId="0" borderId="1" xfId="0" applyNumberFormat="1" applyFont="1" applyBorder="1" applyAlignment="1">
      <alignment/>
    </xf>
    <xf numFmtId="41" fontId="2" fillId="0" borderId="0" xfId="0" applyNumberFormat="1" applyFont="1" applyFill="1" applyAlignment="1">
      <alignment/>
    </xf>
    <xf numFmtId="0" fontId="7" fillId="0" borderId="0" xfId="15" applyNumberFormat="1" applyFont="1" applyAlignment="1">
      <alignment/>
    </xf>
    <xf numFmtId="43" fontId="2" fillId="2" borderId="0" xfId="15" applyNumberFormat="1" applyFont="1" applyFill="1" applyAlignment="1">
      <alignment horizontal="center"/>
    </xf>
    <xf numFmtId="179" fontId="2" fillId="0" borderId="13" xfId="15" applyNumberFormat="1" applyFont="1" applyBorder="1" applyAlignment="1">
      <alignment/>
    </xf>
    <xf numFmtId="16" fontId="2" fillId="0" borderId="0" xfId="0" applyNumberFormat="1" applyFont="1" applyAlignment="1">
      <alignment horizontal="center"/>
    </xf>
    <xf numFmtId="0" fontId="2" fillId="0" borderId="6" xfId="15" applyNumberFormat="1" applyFont="1" applyBorder="1" applyAlignment="1">
      <alignment/>
    </xf>
    <xf numFmtId="179" fontId="2" fillId="0" borderId="14" xfId="15" applyNumberFormat="1" applyFont="1" applyBorder="1" applyAlignment="1">
      <alignment/>
    </xf>
    <xf numFmtId="0" fontId="2" fillId="0" borderId="3" xfId="15" applyNumberFormat="1" applyFont="1" applyBorder="1" applyAlignment="1">
      <alignment/>
    </xf>
    <xf numFmtId="17" fontId="2" fillId="0" borderId="3" xfId="15" applyNumberFormat="1" applyFont="1" applyBorder="1" applyAlignment="1" quotePrefix="1">
      <alignment/>
    </xf>
    <xf numFmtId="179" fontId="2" fillId="0" borderId="8" xfId="15" applyNumberFormat="1" applyFont="1" applyBorder="1" applyAlignment="1">
      <alignment/>
    </xf>
    <xf numFmtId="179" fontId="2" fillId="0" borderId="9" xfId="15" applyNumberFormat="1" applyFont="1" applyBorder="1" applyAlignment="1">
      <alignment/>
    </xf>
    <xf numFmtId="0" fontId="2" fillId="0" borderId="11" xfId="15" applyNumberFormat="1" applyFont="1" applyBorder="1" applyAlignment="1">
      <alignment/>
    </xf>
    <xf numFmtId="179" fontId="2" fillId="0" borderId="11" xfId="15" applyNumberFormat="1" applyFont="1" applyBorder="1" applyAlignment="1">
      <alignment/>
    </xf>
    <xf numFmtId="179" fontId="2" fillId="0" borderId="3" xfId="15" applyNumberFormat="1" applyFont="1" applyBorder="1" applyAlignment="1">
      <alignment/>
    </xf>
    <xf numFmtId="179" fontId="2" fillId="0" borderId="15" xfId="15" applyNumberFormat="1" applyFont="1" applyBorder="1" applyAlignment="1">
      <alignment/>
    </xf>
    <xf numFmtId="179" fontId="2" fillId="0" borderId="16" xfId="15" applyNumberFormat="1" applyFont="1" applyBorder="1" applyAlignment="1">
      <alignment/>
    </xf>
    <xf numFmtId="179" fontId="2" fillId="0" borderId="6" xfId="15" applyNumberFormat="1" applyFont="1" applyBorder="1" applyAlignment="1">
      <alignment/>
    </xf>
    <xf numFmtId="179" fontId="2" fillId="0" borderId="7" xfId="15" applyNumberFormat="1" applyFont="1" applyBorder="1" applyAlignment="1">
      <alignment/>
    </xf>
    <xf numFmtId="43" fontId="2" fillId="0" borderId="11" xfId="15" applyNumberFormat="1" applyFont="1" applyBorder="1" applyAlignment="1">
      <alignment/>
    </xf>
    <xf numFmtId="43" fontId="2" fillId="0" borderId="16" xfId="15" applyNumberFormat="1" applyFont="1" applyBorder="1" applyAlignment="1">
      <alignment/>
    </xf>
    <xf numFmtId="43" fontId="2" fillId="0" borderId="2" xfId="15" applyNumberFormat="1" applyFont="1" applyBorder="1" applyAlignment="1">
      <alignment/>
    </xf>
    <xf numFmtId="17" fontId="2" fillId="0" borderId="11" xfId="15" applyNumberFormat="1" applyFont="1" applyBorder="1" applyAlignment="1">
      <alignment/>
    </xf>
    <xf numFmtId="179" fontId="2" fillId="0" borderId="17" xfId="15" applyNumberFormat="1" applyFont="1" applyBorder="1" applyAlignment="1">
      <alignment/>
    </xf>
    <xf numFmtId="14" fontId="1" fillId="0" borderId="0" xfId="0" applyNumberFormat="1" applyFont="1" applyAlignment="1">
      <alignment horizontal="left"/>
    </xf>
    <xf numFmtId="179" fontId="2" fillId="0" borderId="2" xfId="15" applyNumberFormat="1" applyFont="1" applyBorder="1" applyAlignment="1">
      <alignment/>
    </xf>
    <xf numFmtId="2" fontId="2" fillId="0" borderId="12" xfId="0" applyNumberFormat="1" applyFont="1" applyBorder="1" applyAlignment="1">
      <alignment/>
    </xf>
    <xf numFmtId="43" fontId="2" fillId="0" borderId="12" xfId="0" applyNumberFormat="1" applyFont="1" applyBorder="1" applyAlignment="1">
      <alignment/>
    </xf>
    <xf numFmtId="43" fontId="2" fillId="0" borderId="12" xfId="15" applyNumberFormat="1" applyFont="1" applyBorder="1" applyAlignment="1">
      <alignment/>
    </xf>
    <xf numFmtId="43" fontId="2" fillId="0" borderId="12" xfId="15" applyNumberFormat="1" applyFont="1" applyBorder="1" applyAlignment="1">
      <alignment horizontal="left" indent="1"/>
    </xf>
    <xf numFmtId="14" fontId="2" fillId="0" borderId="0" xfId="0" applyNumberFormat="1" applyFont="1" applyAlignment="1">
      <alignment horizontal="left"/>
    </xf>
    <xf numFmtId="43" fontId="2" fillId="0" borderId="0" xfId="15" applyNumberFormat="1" applyFont="1" applyBorder="1" applyAlignment="1">
      <alignment horizontal="left" indent="1"/>
    </xf>
    <xf numFmtId="43" fontId="2" fillId="0" borderId="0" xfId="0" applyNumberFormat="1" applyFont="1" applyBorder="1" applyAlignment="1">
      <alignment/>
    </xf>
    <xf numFmtId="179" fontId="2" fillId="0" borderId="18" xfId="15" applyNumberFormat="1" applyFont="1" applyBorder="1" applyAlignment="1">
      <alignment horizontal="left"/>
    </xf>
    <xf numFmtId="179" fontId="2" fillId="0" borderId="0" xfId="15" applyNumberFormat="1" applyFont="1" applyBorder="1" applyAlignment="1">
      <alignment horizontal="left"/>
    </xf>
    <xf numFmtId="14" fontId="2" fillId="0" borderId="2" xfId="0" applyNumberFormat="1" applyFont="1" applyBorder="1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179" fontId="2" fillId="0" borderId="2" xfId="15" applyNumberFormat="1" applyFont="1" applyBorder="1" applyAlignment="1">
      <alignment horizontal="center"/>
    </xf>
    <xf numFmtId="43" fontId="2" fillId="0" borderId="0" xfId="15" applyFont="1" applyFill="1" applyAlignment="1">
      <alignment horizontal="right"/>
    </xf>
    <xf numFmtId="0" fontId="1" fillId="0" borderId="0" xfId="0" applyFont="1" applyAlignment="1">
      <alignment horizontal="center"/>
    </xf>
    <xf numFmtId="179" fontId="2" fillId="0" borderId="3" xfId="15" applyNumberFormat="1" applyFont="1" applyBorder="1" applyAlignment="1">
      <alignment horizontal="center"/>
    </xf>
    <xf numFmtId="179" fontId="2" fillId="0" borderId="8" xfId="15" applyNumberFormat="1" applyFont="1" applyBorder="1" applyAlignment="1">
      <alignment horizontal="center"/>
    </xf>
    <xf numFmtId="179" fontId="2" fillId="0" borderId="0" xfId="15" applyNumberFormat="1" applyFont="1" applyBorder="1" applyAlignment="1">
      <alignment horizontal="center"/>
    </xf>
    <xf numFmtId="0" fontId="11" fillId="0" borderId="0" xfId="0" applyFont="1" applyAlignment="1" quotePrefix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179" fontId="0" fillId="0" borderId="0" xfId="15" applyNumberFormat="1" applyAlignment="1">
      <alignment/>
    </xf>
    <xf numFmtId="0" fontId="1" fillId="0" borderId="0" xfId="15" applyNumberFormat="1" applyFont="1" applyFill="1" applyAlignment="1" quotePrefix="1">
      <alignment horizontal="center"/>
    </xf>
    <xf numFmtId="0" fontId="2" fillId="0" borderId="0" xfId="15" applyNumberFormat="1" applyFont="1" applyFill="1" applyAlignment="1">
      <alignment/>
    </xf>
    <xf numFmtId="14" fontId="1" fillId="0" borderId="0" xfId="0" applyNumberFormat="1" applyFont="1" applyFill="1" applyAlignment="1">
      <alignment horizontal="left"/>
    </xf>
    <xf numFmtId="179" fontId="2" fillId="0" borderId="2" xfId="15" applyNumberFormat="1" applyFont="1" applyFill="1" applyBorder="1" applyAlignment="1">
      <alignment/>
    </xf>
    <xf numFmtId="179" fontId="2" fillId="0" borderId="0" xfId="15" applyNumberFormat="1" applyFont="1" applyFill="1" applyAlignment="1">
      <alignment/>
    </xf>
    <xf numFmtId="179" fontId="2" fillId="0" borderId="4" xfId="15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179" fontId="2" fillId="0" borderId="0" xfId="15" applyNumberFormat="1" applyFont="1" applyFill="1" applyBorder="1" applyAlignment="1">
      <alignment/>
    </xf>
    <xf numFmtId="0" fontId="11" fillId="0" borderId="0" xfId="0" applyFont="1" applyFill="1" applyAlignment="1">
      <alignment horizontal="center"/>
    </xf>
    <xf numFmtId="179" fontId="2" fillId="0" borderId="13" xfId="15" applyNumberFormat="1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15" fontId="2" fillId="0" borderId="0" xfId="0" applyNumberFormat="1" applyFont="1" applyAlignment="1">
      <alignment horizontal="left"/>
    </xf>
    <xf numFmtId="41" fontId="12" fillId="0" borderId="0" xfId="0" applyNumberFormat="1" applyFont="1" applyAlignment="1">
      <alignment/>
    </xf>
    <xf numFmtId="179" fontId="12" fillId="0" borderId="0" xfId="15" applyNumberFormat="1" applyFont="1" applyAlignment="1">
      <alignment/>
    </xf>
    <xf numFmtId="179" fontId="2" fillId="0" borderId="0" xfId="15" applyNumberFormat="1" applyFont="1" applyAlignment="1" quotePrefix="1">
      <alignment/>
    </xf>
    <xf numFmtId="179" fontId="2" fillId="0" borderId="0" xfId="15" applyNumberFormat="1" applyFont="1" applyFill="1" applyAlignment="1">
      <alignment/>
    </xf>
    <xf numFmtId="43" fontId="2" fillId="0" borderId="3" xfId="15" applyNumberFormat="1" applyFont="1" applyFill="1" applyBorder="1" applyAlignment="1">
      <alignment/>
    </xf>
    <xf numFmtId="43" fontId="2" fillId="0" borderId="19" xfId="15" applyNumberFormat="1" applyFont="1" applyFill="1" applyBorder="1" applyAlignment="1">
      <alignment/>
    </xf>
    <xf numFmtId="43" fontId="2" fillId="0" borderId="0" xfId="15" applyNumberFormat="1" applyFont="1" applyFill="1" applyBorder="1" applyAlignment="1">
      <alignment/>
    </xf>
    <xf numFmtId="179" fontId="2" fillId="0" borderId="16" xfId="15" applyNumberFormat="1" applyFont="1" applyFill="1" applyBorder="1" applyAlignment="1">
      <alignment/>
    </xf>
    <xf numFmtId="0" fontId="1" fillId="0" borderId="0" xfId="0" applyFont="1" applyAlignment="1" quotePrefix="1">
      <alignment/>
    </xf>
    <xf numFmtId="179" fontId="2" fillId="0" borderId="13" xfId="15" applyNumberFormat="1" applyFont="1" applyFill="1" applyBorder="1" applyAlignment="1">
      <alignment/>
    </xf>
    <xf numFmtId="179" fontId="2" fillId="0" borderId="12" xfId="0" applyNumberFormat="1" applyFont="1" applyFill="1" applyBorder="1" applyAlignment="1">
      <alignment/>
    </xf>
    <xf numFmtId="179" fontId="2" fillId="0" borderId="0" xfId="15" applyNumberFormat="1" applyFont="1" applyFill="1" applyBorder="1" applyAlignment="1">
      <alignment/>
    </xf>
    <xf numFmtId="179" fontId="2" fillId="0" borderId="2" xfId="15" applyNumberFormat="1" applyFont="1" applyFill="1" applyBorder="1" applyAlignment="1">
      <alignment/>
    </xf>
    <xf numFmtId="0" fontId="2" fillId="0" borderId="0" xfId="15" applyNumberFormat="1" applyFont="1" applyFill="1" applyAlignment="1">
      <alignment horizontal="center"/>
    </xf>
    <xf numFmtId="14" fontId="2" fillId="0" borderId="0" xfId="0" applyNumberFormat="1" applyFont="1" applyAlignment="1" quotePrefix="1">
      <alignment/>
    </xf>
    <xf numFmtId="0" fontId="11" fillId="0" borderId="0" xfId="0" applyFont="1" applyFill="1" applyAlignment="1">
      <alignment/>
    </xf>
    <xf numFmtId="179" fontId="2" fillId="0" borderId="12" xfId="15" applyNumberFormat="1" applyFont="1" applyFill="1" applyBorder="1" applyAlignment="1">
      <alignment horizontal="right"/>
    </xf>
    <xf numFmtId="179" fontId="2" fillId="0" borderId="12" xfId="15" applyNumberFormat="1" applyFont="1" applyFill="1" applyBorder="1" applyAlignment="1">
      <alignment/>
    </xf>
    <xf numFmtId="179" fontId="2" fillId="0" borderId="20" xfId="15" applyNumberFormat="1" applyFont="1" applyFill="1" applyBorder="1" applyAlignment="1">
      <alignment/>
    </xf>
    <xf numFmtId="43" fontId="2" fillId="0" borderId="0" xfId="15" applyFont="1" applyAlignment="1">
      <alignment/>
    </xf>
    <xf numFmtId="43" fontId="2" fillId="0" borderId="12" xfId="15" applyFont="1" applyBorder="1" applyAlignment="1">
      <alignment/>
    </xf>
    <xf numFmtId="179" fontId="1" fillId="0" borderId="0" xfId="15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3" fillId="0" borderId="0" xfId="0" applyFont="1" applyFill="1" applyBorder="1" applyAlignment="1">
      <alignment horizontal="center"/>
    </xf>
    <xf numFmtId="14" fontId="1" fillId="0" borderId="0" xfId="0" applyNumberFormat="1" applyFont="1" applyAlignment="1">
      <alignment horizontal="left"/>
    </xf>
    <xf numFmtId="14" fontId="1" fillId="0" borderId="0" xfId="0" applyNumberFormat="1" applyFont="1" applyAlignment="1" quotePrefix="1">
      <alignment horizontal="left"/>
    </xf>
    <xf numFmtId="0" fontId="1" fillId="0" borderId="2" xfId="0" applyFont="1" applyBorder="1" applyAlignment="1">
      <alignment horizontal="center"/>
    </xf>
    <xf numFmtId="179" fontId="2" fillId="0" borderId="14" xfId="15" applyNumberFormat="1" applyFont="1" applyBorder="1" applyAlignment="1">
      <alignment horizontal="center"/>
    </xf>
    <xf numFmtId="179" fontId="2" fillId="0" borderId="7" xfId="15" applyNumberFormat="1" applyFont="1" applyBorder="1" applyAlignment="1">
      <alignment horizontal="center"/>
    </xf>
    <xf numFmtId="179" fontId="2" fillId="0" borderId="2" xfId="15" applyNumberFormat="1" applyFont="1" applyBorder="1" applyAlignment="1">
      <alignment horizontal="center"/>
    </xf>
    <xf numFmtId="179" fontId="2" fillId="0" borderId="9" xfId="15" applyNumberFormat="1" applyFont="1" applyBorder="1" applyAlignment="1">
      <alignment horizontal="center"/>
    </xf>
    <xf numFmtId="179" fontId="2" fillId="0" borderId="11" xfId="15" applyNumberFormat="1" applyFont="1" applyBorder="1" applyAlignment="1">
      <alignment horizontal="center"/>
    </xf>
    <xf numFmtId="179" fontId="2" fillId="0" borderId="10" xfId="15" applyNumberFormat="1" applyFont="1" applyBorder="1" applyAlignment="1">
      <alignment horizontal="center"/>
    </xf>
    <xf numFmtId="179" fontId="2" fillId="0" borderId="18" xfId="15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I53"/>
  <sheetViews>
    <sheetView showGridLines="0" workbookViewId="0" topLeftCell="A31">
      <selection activeCell="A33" sqref="A33"/>
    </sheetView>
  </sheetViews>
  <sheetFormatPr defaultColWidth="9.140625" defaultRowHeight="12.75"/>
  <cols>
    <col min="1" max="1" width="8.421875" style="55" customWidth="1"/>
    <col min="2" max="4" width="8.421875" style="39" customWidth="1"/>
    <col min="5" max="5" width="6.57421875" style="39" customWidth="1"/>
    <col min="6" max="9" width="12.7109375" style="39" customWidth="1"/>
    <col min="10" max="16384" width="9.140625" style="39" customWidth="1"/>
  </cols>
  <sheetData>
    <row r="4" ht="10.5" customHeight="1"/>
    <row r="5" ht="15">
      <c r="A5" s="5" t="str">
        <f>Cover!B10</f>
        <v>UNAUDITED QUARTERLY FINANCIAL REPORT FOR THE YEAR ENDED 30 APRIL 2005</v>
      </c>
    </row>
    <row r="6" ht="5.25" customHeight="1">
      <c r="A6" s="5"/>
    </row>
    <row r="7" ht="15">
      <c r="A7" s="53" t="s">
        <v>152</v>
      </c>
    </row>
    <row r="8" ht="5.25" customHeight="1"/>
    <row r="9" spans="5:9" ht="15">
      <c r="E9" s="38"/>
      <c r="F9" s="191" t="s">
        <v>72</v>
      </c>
      <c r="G9" s="191"/>
      <c r="H9" s="191" t="s">
        <v>363</v>
      </c>
      <c r="I9" s="191"/>
    </row>
    <row r="10" spans="5:9" ht="15">
      <c r="E10" s="38"/>
      <c r="F10" s="155" t="s">
        <v>389</v>
      </c>
      <c r="G10" s="155" t="s">
        <v>334</v>
      </c>
      <c r="H10" s="155" t="str">
        <f>+F10</f>
        <v>30-4-2005</v>
      </c>
      <c r="I10" s="155" t="str">
        <f>+G10</f>
        <v>30-4-2004</v>
      </c>
    </row>
    <row r="11" spans="5:9" ht="15">
      <c r="E11" s="40"/>
      <c r="F11" s="40" t="s">
        <v>73</v>
      </c>
      <c r="G11" s="40" t="s">
        <v>73</v>
      </c>
      <c r="H11" s="40" t="s">
        <v>73</v>
      </c>
      <c r="I11" s="40" t="s">
        <v>73</v>
      </c>
    </row>
    <row r="12" spans="1:9" ht="22.5" customHeight="1" thickBot="1">
      <c r="A12" s="82" t="s">
        <v>74</v>
      </c>
      <c r="B12" s="41"/>
      <c r="C12" s="41"/>
      <c r="D12" s="41"/>
      <c r="E12" s="41"/>
      <c r="F12" s="42">
        <f>+H12-1946815</f>
        <v>723400</v>
      </c>
      <c r="G12" s="41">
        <v>634865</v>
      </c>
      <c r="H12" s="42">
        <v>2670215</v>
      </c>
      <c r="I12" s="41">
        <v>2477296</v>
      </c>
    </row>
    <row r="13" spans="6:8" ht="15">
      <c r="F13" s="43"/>
      <c r="H13" s="43"/>
    </row>
    <row r="14" spans="1:9" ht="15">
      <c r="A14" s="55" t="s">
        <v>169</v>
      </c>
      <c r="F14" s="43">
        <f>+H14-341329</f>
        <v>128254</v>
      </c>
      <c r="G14" s="39">
        <v>99191</v>
      </c>
      <c r="H14" s="43">
        <f>471230+(-1799)+76+133+(-4)+(-53)</f>
        <v>469583</v>
      </c>
      <c r="I14" s="39">
        <v>404382</v>
      </c>
    </row>
    <row r="15" spans="6:8" ht="15">
      <c r="F15" s="43"/>
      <c r="H15" s="43"/>
    </row>
    <row r="16" spans="1:9" ht="15">
      <c r="A16" s="55" t="s">
        <v>288</v>
      </c>
      <c r="F16" s="43">
        <f>+H16-43276</f>
        <v>12507</v>
      </c>
      <c r="G16" s="39">
        <v>14593</v>
      </c>
      <c r="H16" s="43">
        <f>55138+150+495</f>
        <v>55783</v>
      </c>
      <c r="I16" s="39">
        <v>62977</v>
      </c>
    </row>
    <row r="17" spans="1:9" ht="15">
      <c r="A17" s="55" t="s">
        <v>348</v>
      </c>
      <c r="F17" s="43">
        <f>+H17+2108</f>
        <v>-22692</v>
      </c>
      <c r="G17" s="39">
        <v>-7927</v>
      </c>
      <c r="H17" s="43">
        <f>-24155+(-150)+(-495)</f>
        <v>-24800</v>
      </c>
      <c r="I17" s="39">
        <v>-7938</v>
      </c>
    </row>
    <row r="18" spans="1:9" ht="15">
      <c r="A18" s="55" t="s">
        <v>75</v>
      </c>
      <c r="F18" s="43">
        <f>+H18+7935</f>
        <v>-2503</v>
      </c>
      <c r="G18" s="39">
        <v>-5142</v>
      </c>
      <c r="H18" s="43">
        <v>-10438</v>
      </c>
      <c r="I18" s="39">
        <v>-21023</v>
      </c>
    </row>
    <row r="19" spans="1:9" ht="15">
      <c r="A19" s="55" t="s">
        <v>139</v>
      </c>
      <c r="F19" s="43">
        <f>+H19+404</f>
        <v>-1332</v>
      </c>
      <c r="G19" s="39">
        <v>-409</v>
      </c>
      <c r="H19" s="43">
        <f>-1736</f>
        <v>-1736</v>
      </c>
      <c r="I19" s="39">
        <v>-409</v>
      </c>
    </row>
    <row r="20" spans="1:9" ht="9.75" customHeight="1">
      <c r="A20" s="83"/>
      <c r="B20" s="44"/>
      <c r="C20" s="44"/>
      <c r="D20" s="44"/>
      <c r="E20" s="44"/>
      <c r="F20" s="45"/>
      <c r="G20" s="44"/>
      <c r="H20" s="45"/>
      <c r="I20" s="44"/>
    </row>
    <row r="21" spans="1:9" ht="17.25" customHeight="1">
      <c r="A21" s="55" t="s">
        <v>76</v>
      </c>
      <c r="F21" s="43">
        <f>SUM(F14:F20)</f>
        <v>114234</v>
      </c>
      <c r="G21" s="39">
        <f>SUM(G14:G20)</f>
        <v>100306</v>
      </c>
      <c r="H21" s="43">
        <f>SUM(H14:H20)</f>
        <v>488392</v>
      </c>
      <c r="I21" s="39">
        <f>SUM(I14:I20)</f>
        <v>437989</v>
      </c>
    </row>
    <row r="22" spans="6:8" ht="17.25" customHeight="1">
      <c r="F22" s="43"/>
      <c r="H22" s="43"/>
    </row>
    <row r="23" spans="1:9" ht="18.75" customHeight="1">
      <c r="A23" s="84" t="s">
        <v>77</v>
      </c>
      <c r="B23" s="46"/>
      <c r="C23" s="46"/>
      <c r="D23" s="46"/>
      <c r="E23" s="46"/>
      <c r="F23" s="47">
        <f>+H23+117128</f>
        <v>-34709</v>
      </c>
      <c r="G23" s="46">
        <v>-41609</v>
      </c>
      <c r="H23" s="47">
        <f>-151837</f>
        <v>-151837</v>
      </c>
      <c r="I23" s="46">
        <v>-140757</v>
      </c>
    </row>
    <row r="24" spans="1:9" ht="20.25" customHeight="1">
      <c r="A24" s="55" t="s">
        <v>78</v>
      </c>
      <c r="F24" s="43">
        <f>SUM(F21:F23)</f>
        <v>79525</v>
      </c>
      <c r="G24" s="39">
        <f>SUM(G21:G23)</f>
        <v>58697</v>
      </c>
      <c r="H24" s="43">
        <f>SUM(H21:H23)</f>
        <v>336555</v>
      </c>
      <c r="I24" s="39">
        <f>SUM(I21:I23)</f>
        <v>297232</v>
      </c>
    </row>
    <row r="25" spans="6:8" ht="16.5" customHeight="1">
      <c r="F25" s="43"/>
      <c r="H25" s="43"/>
    </row>
    <row r="26" spans="1:9" ht="15">
      <c r="A26" s="156" t="s">
        <v>305</v>
      </c>
      <c r="F26" s="43">
        <f>+H26+1319</f>
        <v>-181</v>
      </c>
      <c r="G26" s="39">
        <v>-154153</v>
      </c>
      <c r="H26" s="43">
        <v>-1500</v>
      </c>
      <c r="I26" s="39">
        <v>-159193</v>
      </c>
    </row>
    <row r="27" spans="1:9" ht="9.75" customHeight="1">
      <c r="A27" s="83"/>
      <c r="B27" s="44"/>
      <c r="C27" s="44"/>
      <c r="D27" s="44"/>
      <c r="E27" s="44"/>
      <c r="F27" s="45"/>
      <c r="G27" s="44"/>
      <c r="H27" s="45"/>
      <c r="I27" s="44"/>
    </row>
    <row r="28" spans="1:8" ht="21.75" customHeight="1">
      <c r="A28" s="55" t="s">
        <v>362</v>
      </c>
      <c r="F28" s="43"/>
      <c r="H28" s="43"/>
    </row>
    <row r="29" spans="1:9" ht="15">
      <c r="A29" s="55" t="s">
        <v>117</v>
      </c>
      <c r="F29" s="43">
        <f>+F24+F26</f>
        <v>79344</v>
      </c>
      <c r="G29" s="39">
        <f>+G24+G26</f>
        <v>-95456</v>
      </c>
      <c r="H29" s="43">
        <f>+H24+H26</f>
        <v>335055</v>
      </c>
      <c r="I29" s="39">
        <f>+I24+I26</f>
        <v>138039</v>
      </c>
    </row>
    <row r="30" spans="1:9" ht="9" customHeight="1" thickBot="1">
      <c r="A30" s="85"/>
      <c r="B30" s="48"/>
      <c r="C30" s="48"/>
      <c r="D30" s="48"/>
      <c r="E30" s="48"/>
      <c r="F30" s="49"/>
      <c r="G30" s="48"/>
      <c r="H30" s="49"/>
      <c r="I30" s="48"/>
    </row>
    <row r="31" spans="6:8" ht="9" customHeight="1">
      <c r="F31" s="43"/>
      <c r="H31" s="43"/>
    </row>
    <row r="32" spans="1:8" ht="15">
      <c r="A32" s="55" t="s">
        <v>36</v>
      </c>
      <c r="F32" s="43"/>
      <c r="H32" s="43"/>
    </row>
    <row r="33" spans="1:9" ht="15.75" customHeight="1">
      <c r="A33" s="55" t="s">
        <v>79</v>
      </c>
      <c r="F33" s="50">
        <f>+'Notes (2)'!I176</f>
        <v>7.301149408364337</v>
      </c>
      <c r="G33" s="51">
        <f>+'Notes (2)'!J176</f>
        <v>-10.154418303824077</v>
      </c>
      <c r="H33" s="50">
        <f>+'Notes (2)'!I194</f>
        <v>33.2604040823174</v>
      </c>
      <c r="I33" s="51">
        <f>+'Notes (2)'!J194</f>
        <v>16.333656758803482</v>
      </c>
    </row>
    <row r="34" spans="6:8" ht="8.25" customHeight="1">
      <c r="F34" s="43"/>
      <c r="H34" s="43"/>
    </row>
    <row r="35" spans="1:9" ht="15">
      <c r="A35" s="55" t="s">
        <v>80</v>
      </c>
      <c r="F35" s="110">
        <f>+'Notes (2)'!I183</f>
        <v>6.709424120064495</v>
      </c>
      <c r="G35" s="51">
        <f>+'Notes (2)'!J183</f>
        <v>-7.161094175900389</v>
      </c>
      <c r="H35" s="110">
        <f>+'Notes (2)'!I201</f>
        <v>30.26256089893676</v>
      </c>
      <c r="I35" s="51">
        <f>+'Notes (2)'!J201</f>
        <v>14.239001112118643</v>
      </c>
    </row>
    <row r="36" spans="1:9" ht="9" customHeight="1" thickBot="1">
      <c r="A36" s="85"/>
      <c r="B36" s="48"/>
      <c r="C36" s="48"/>
      <c r="D36" s="48"/>
      <c r="E36" s="48"/>
      <c r="F36" s="49"/>
      <c r="G36" s="48"/>
      <c r="H36" s="49"/>
      <c r="I36" s="48"/>
    </row>
    <row r="37" spans="6:8" ht="9.75" customHeight="1">
      <c r="F37" s="43"/>
      <c r="H37" s="43"/>
    </row>
    <row r="38" spans="1:9" ht="15">
      <c r="A38" s="55" t="s">
        <v>131</v>
      </c>
      <c r="F38" s="50"/>
      <c r="G38" s="51"/>
      <c r="H38" s="50"/>
      <c r="I38" s="51"/>
    </row>
    <row r="39" spans="1:9" ht="15">
      <c r="A39" s="56" t="s">
        <v>285</v>
      </c>
      <c r="F39" s="50">
        <f>+H39-(10*0.72)</f>
        <v>0</v>
      </c>
      <c r="G39" s="51">
        <v>0</v>
      </c>
      <c r="H39" s="50">
        <f>10*0.72</f>
        <v>7.199999999999999</v>
      </c>
      <c r="I39" s="51">
        <f>8*0.72</f>
        <v>5.76</v>
      </c>
    </row>
    <row r="40" spans="1:9" ht="15">
      <c r="A40" s="56" t="s">
        <v>351</v>
      </c>
      <c r="F40" s="50">
        <v>0</v>
      </c>
      <c r="G40" s="51">
        <v>14.4</v>
      </c>
      <c r="H40" s="50">
        <f>8*0.72</f>
        <v>5.76</v>
      </c>
      <c r="I40" s="51">
        <v>14.4</v>
      </c>
    </row>
    <row r="41" spans="1:9" ht="15">
      <c r="A41" s="56" t="s">
        <v>355</v>
      </c>
      <c r="F41" s="50">
        <v>0</v>
      </c>
      <c r="G41" s="51">
        <v>0</v>
      </c>
      <c r="H41" s="50">
        <f>16*0.72</f>
        <v>11.52</v>
      </c>
      <c r="I41" s="51">
        <v>0</v>
      </c>
    </row>
    <row r="42" spans="1:9" ht="15">
      <c r="A42" s="56" t="s">
        <v>404</v>
      </c>
      <c r="F42" s="50">
        <f>11*0.72</f>
        <v>7.92</v>
      </c>
      <c r="G42" s="51">
        <v>0</v>
      </c>
      <c r="H42" s="50">
        <f>11*0.72</f>
        <v>7.92</v>
      </c>
      <c r="I42" s="51">
        <v>0</v>
      </c>
    </row>
    <row r="43" spans="1:9" ht="8.25" customHeight="1" thickBot="1">
      <c r="A43" s="85"/>
      <c r="B43" s="48"/>
      <c r="C43" s="48"/>
      <c r="D43" s="48"/>
      <c r="E43" s="48"/>
      <c r="F43" s="49"/>
      <c r="G43" s="48"/>
      <c r="H43" s="49"/>
      <c r="I43" s="48"/>
    </row>
    <row r="45" spans="6:9" ht="15">
      <c r="F45" s="159"/>
      <c r="I45" s="52"/>
    </row>
    <row r="46" spans="6:9" ht="15">
      <c r="F46" s="159"/>
      <c r="I46" s="52"/>
    </row>
    <row r="47" spans="6:9" ht="15" customHeight="1">
      <c r="F47" s="159"/>
      <c r="I47" s="52"/>
    </row>
    <row r="48" spans="6:9" ht="15" customHeight="1">
      <c r="F48" s="159"/>
      <c r="I48" s="52"/>
    </row>
    <row r="49" spans="6:9" ht="15" customHeight="1">
      <c r="F49" s="159"/>
      <c r="I49" s="52"/>
    </row>
    <row r="50" spans="6:9" ht="15" customHeight="1">
      <c r="F50" s="159"/>
      <c r="I50" s="52"/>
    </row>
    <row r="51" spans="6:9" ht="15" customHeight="1">
      <c r="F51" s="159"/>
      <c r="I51" s="52"/>
    </row>
    <row r="52" spans="6:9" ht="15" customHeight="1">
      <c r="F52" s="159"/>
      <c r="I52" s="52"/>
    </row>
    <row r="53" ht="20.25" customHeight="1">
      <c r="A53" s="86" t="s">
        <v>325</v>
      </c>
    </row>
    <row r="54" ht="6.75" customHeight="1"/>
  </sheetData>
  <mergeCells count="2">
    <mergeCell ref="F9:G9"/>
    <mergeCell ref="H9:I9"/>
  </mergeCells>
  <printOptions/>
  <pageMargins left="0.75" right="0.49" top="0.86" bottom="0.31" header="0.5" footer="0.5"/>
  <pageSetup horizontalDpi="600" verticalDpi="600" orientation="portrait" paperSize="9" scale="95" r:id="rId1"/>
  <headerFooter alignWithMargins="0">
    <oddHeader>&amp;R&amp;"Arial,Bold"Berjaya Sports Toto Berhad&amp;U
&amp;9&amp;U(&amp;"Arial,Regular"Company No. 9109-K)
Quarterly Report 30-4-2005</oddHeader>
    <oddFooter>&amp;R&amp;"Arial,Bold"    Page 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25"/>
  <sheetViews>
    <sheetView workbookViewId="0" topLeftCell="A13">
      <selection activeCell="I26" sqref="I26"/>
    </sheetView>
  </sheetViews>
  <sheetFormatPr defaultColWidth="9.140625" defaultRowHeight="12.75"/>
  <cols>
    <col min="1" max="7" width="9.140625" style="2" customWidth="1"/>
    <col min="8" max="8" width="10.8515625" style="2" customWidth="1"/>
    <col min="9" max="9" width="9.140625" style="2" customWidth="1"/>
    <col min="10" max="10" width="7.421875" style="2" customWidth="1"/>
    <col min="11" max="16384" width="9.140625" style="2" customWidth="1"/>
  </cols>
  <sheetData>
    <row r="1" spans="1:10" ht="18.75" customHeight="1">
      <c r="A1" s="192" t="s">
        <v>167</v>
      </c>
      <c r="B1" s="192"/>
      <c r="C1" s="192"/>
      <c r="D1" s="192"/>
      <c r="E1" s="192"/>
      <c r="F1" s="192"/>
      <c r="G1" s="192"/>
      <c r="H1" s="192"/>
      <c r="I1" s="192"/>
      <c r="J1" s="192"/>
    </row>
    <row r="2" spans="1:10" ht="15" customHeight="1">
      <c r="A2" s="193" t="s">
        <v>168</v>
      </c>
      <c r="B2" s="193"/>
      <c r="C2" s="193"/>
      <c r="D2" s="193"/>
      <c r="E2" s="193"/>
      <c r="F2" s="193"/>
      <c r="G2" s="193"/>
      <c r="H2" s="193"/>
      <c r="I2" s="193"/>
      <c r="J2" s="193"/>
    </row>
    <row r="10" spans="1:9" ht="27.75" customHeight="1">
      <c r="A10" s="101" t="s">
        <v>142</v>
      </c>
      <c r="B10" s="194" t="s">
        <v>403</v>
      </c>
      <c r="C10" s="194"/>
      <c r="D10" s="194"/>
      <c r="E10" s="194"/>
      <c r="F10" s="194"/>
      <c r="G10" s="194"/>
      <c r="H10" s="100"/>
      <c r="I10" s="100"/>
    </row>
    <row r="12" spans="2:9" ht="15">
      <c r="B12" s="97" t="s">
        <v>150</v>
      </c>
      <c r="I12" s="69" t="s">
        <v>151</v>
      </c>
    </row>
    <row r="13" ht="9" customHeight="1"/>
    <row r="14" spans="2:9" ht="15">
      <c r="B14" s="2" t="s">
        <v>146</v>
      </c>
      <c r="I14" s="69">
        <v>1</v>
      </c>
    </row>
    <row r="15" ht="9" customHeight="1">
      <c r="I15" s="69"/>
    </row>
    <row r="16" spans="2:9" ht="15">
      <c r="B16" s="2" t="s">
        <v>147</v>
      </c>
      <c r="I16" s="69">
        <v>2</v>
      </c>
    </row>
    <row r="17" ht="9" customHeight="1">
      <c r="I17" s="69"/>
    </row>
    <row r="18" spans="2:9" ht="15">
      <c r="B18" s="2" t="s">
        <v>148</v>
      </c>
      <c r="I18" s="69">
        <v>3</v>
      </c>
    </row>
    <row r="19" ht="9" customHeight="1">
      <c r="I19" s="69"/>
    </row>
    <row r="20" spans="2:9" ht="15">
      <c r="B20" s="2" t="s">
        <v>149</v>
      </c>
      <c r="I20" s="69">
        <v>4</v>
      </c>
    </row>
    <row r="21" ht="9" customHeight="1">
      <c r="I21" s="69"/>
    </row>
    <row r="22" spans="2:9" ht="15">
      <c r="B22" s="2" t="s">
        <v>324</v>
      </c>
      <c r="I22" s="98" t="s">
        <v>25</v>
      </c>
    </row>
    <row r="23" ht="9" customHeight="1">
      <c r="I23" s="69"/>
    </row>
    <row r="24" spans="2:10" ht="15">
      <c r="B24" s="2" t="s">
        <v>304</v>
      </c>
      <c r="J24" s="96"/>
    </row>
    <row r="25" spans="3:9" ht="15">
      <c r="C25" s="2" t="s">
        <v>303</v>
      </c>
      <c r="I25" s="99" t="s">
        <v>35</v>
      </c>
    </row>
  </sheetData>
  <mergeCells count="3">
    <mergeCell ref="A1:J1"/>
    <mergeCell ref="A2:J2"/>
    <mergeCell ref="B10:G10"/>
  </mergeCells>
  <printOptions/>
  <pageMargins left="0.79" right="0.3" top="1" bottom="1" header="0.5" footer="0.5"/>
  <pageSetup firstPageNumber="0" useFirstPageNumber="1" horizontalDpi="300" verticalDpi="3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9"/>
  <sheetViews>
    <sheetView showGridLines="0" workbookViewId="0" topLeftCell="A49">
      <selection activeCell="K4" sqref="K4"/>
    </sheetView>
  </sheetViews>
  <sheetFormatPr defaultColWidth="9.140625" defaultRowHeight="12.75"/>
  <cols>
    <col min="1" max="2" width="9.140625" style="2" customWidth="1"/>
    <col min="3" max="3" width="10.140625" style="2" customWidth="1"/>
    <col min="4" max="4" width="9.140625" style="2" customWidth="1"/>
    <col min="5" max="5" width="17.421875" style="2" customWidth="1"/>
    <col min="6" max="6" width="8.7109375" style="2" customWidth="1"/>
    <col min="7" max="7" width="14.421875" style="2" customWidth="1"/>
    <col min="8" max="8" width="12.7109375" style="28" customWidth="1"/>
    <col min="9" max="9" width="13.57421875" style="3" customWidth="1"/>
    <col min="10" max="10" width="2.140625" style="4" customWidth="1"/>
    <col min="11" max="16384" width="9.140625" style="2" customWidth="1"/>
  </cols>
  <sheetData>
    <row r="1" ht="9.75" customHeight="1">
      <c r="H1" s="3"/>
    </row>
    <row r="2" ht="12" customHeight="1">
      <c r="H2" s="3"/>
    </row>
    <row r="3" ht="3" customHeight="1" hidden="1">
      <c r="H3" s="3"/>
    </row>
    <row r="4" spans="1:8" ht="12.75" customHeight="1">
      <c r="A4" s="5" t="str">
        <f>PL!A5</f>
        <v>UNAUDITED QUARTERLY FINANCIAL REPORT FOR THE YEAR ENDED 30 APRIL 2005</v>
      </c>
      <c r="H4" s="3"/>
    </row>
    <row r="5" spans="1:9" ht="12.75" customHeight="1">
      <c r="A5" s="70" t="s">
        <v>145</v>
      </c>
      <c r="B5" s="6"/>
      <c r="C5" s="6"/>
      <c r="D5" s="6"/>
      <c r="E5" s="6"/>
      <c r="F5" s="6"/>
      <c r="G5" s="6"/>
      <c r="H5" s="7"/>
      <c r="I5" s="7"/>
    </row>
    <row r="6" spans="1:10" ht="14.25" customHeight="1">
      <c r="A6" s="2" t="s">
        <v>81</v>
      </c>
      <c r="G6" s="5"/>
      <c r="H6" s="195" t="s">
        <v>94</v>
      </c>
      <c r="I6" s="195"/>
      <c r="J6" s="8"/>
    </row>
    <row r="7" spans="7:10" ht="13.5" customHeight="1">
      <c r="G7" s="5"/>
      <c r="H7" s="9" t="str">
        <f>+PL!H10</f>
        <v>30-4-2005</v>
      </c>
      <c r="I7" s="9" t="s">
        <v>334</v>
      </c>
      <c r="J7" s="8"/>
    </row>
    <row r="8" spans="1:10" ht="13.5" customHeight="1" thickBot="1">
      <c r="A8" s="10"/>
      <c r="B8" s="10"/>
      <c r="C8" s="10"/>
      <c r="D8" s="10"/>
      <c r="E8" s="10"/>
      <c r="F8" s="10"/>
      <c r="G8" s="1"/>
      <c r="H8" s="11" t="s">
        <v>73</v>
      </c>
      <c r="I8" s="11" t="s">
        <v>73</v>
      </c>
      <c r="J8" s="8"/>
    </row>
    <row r="9" spans="1:10" ht="14.25" customHeight="1">
      <c r="A9" s="8" t="s">
        <v>271</v>
      </c>
      <c r="B9" s="4"/>
      <c r="C9" s="4"/>
      <c r="D9" s="4"/>
      <c r="E9" s="4"/>
      <c r="F9" s="4"/>
      <c r="G9" s="12"/>
      <c r="H9" s="13"/>
      <c r="I9" s="13"/>
      <c r="J9" s="8"/>
    </row>
    <row r="10" spans="1:9" ht="14.25" customHeight="1">
      <c r="A10" s="2" t="s">
        <v>95</v>
      </c>
      <c r="H10" s="14">
        <v>72684</v>
      </c>
      <c r="I10" s="15">
        <v>79453</v>
      </c>
    </row>
    <row r="11" spans="1:9" ht="14.25" customHeight="1">
      <c r="A11" s="2" t="s">
        <v>170</v>
      </c>
      <c r="H11" s="15">
        <v>23597</v>
      </c>
      <c r="I11" s="15">
        <v>23929</v>
      </c>
    </row>
    <row r="12" spans="1:9" ht="14.25" customHeight="1">
      <c r="A12" s="2" t="s">
        <v>156</v>
      </c>
      <c r="H12" s="15">
        <v>49147</v>
      </c>
      <c r="I12" s="15">
        <v>55610</v>
      </c>
    </row>
    <row r="13" spans="1:9" ht="14.25" customHeight="1">
      <c r="A13" s="2" t="s">
        <v>157</v>
      </c>
      <c r="H13" s="15">
        <v>319</v>
      </c>
      <c r="I13" s="15">
        <v>5711</v>
      </c>
    </row>
    <row r="14" spans="1:9" ht="14.25" customHeight="1">
      <c r="A14" s="2" t="s">
        <v>306</v>
      </c>
      <c r="H14" s="15">
        <v>0</v>
      </c>
      <c r="I14" s="15">
        <v>3504</v>
      </c>
    </row>
    <row r="15" spans="1:9" ht="14.25" customHeight="1">
      <c r="A15" s="2" t="s">
        <v>307</v>
      </c>
      <c r="H15" s="15">
        <v>247</v>
      </c>
      <c r="I15" s="15">
        <v>243</v>
      </c>
    </row>
    <row r="16" spans="1:9" ht="14.25" customHeight="1">
      <c r="A16" s="4" t="s">
        <v>158</v>
      </c>
      <c r="B16" s="4"/>
      <c r="C16" s="4"/>
      <c r="D16" s="4"/>
      <c r="E16" s="4"/>
      <c r="F16" s="4"/>
      <c r="G16" s="4"/>
      <c r="H16" s="15">
        <v>609432</v>
      </c>
      <c r="I16" s="15">
        <v>619768</v>
      </c>
    </row>
    <row r="17" spans="1:9" ht="2.25" customHeight="1">
      <c r="A17" s="4"/>
      <c r="B17" s="4"/>
      <c r="C17" s="4"/>
      <c r="D17" s="4"/>
      <c r="E17" s="4"/>
      <c r="F17" s="4"/>
      <c r="G17" s="4"/>
      <c r="H17" s="15"/>
      <c r="I17" s="15"/>
    </row>
    <row r="18" spans="1:9" ht="14.25" customHeight="1">
      <c r="A18" s="5" t="s">
        <v>82</v>
      </c>
      <c r="H18" s="15"/>
      <c r="I18" s="15"/>
    </row>
    <row r="19" spans="1:10" ht="14.25" customHeight="1">
      <c r="A19" s="2" t="s">
        <v>171</v>
      </c>
      <c r="H19" s="31">
        <v>14713</v>
      </c>
      <c r="I19" s="33">
        <v>18536</v>
      </c>
      <c r="J19" s="17"/>
    </row>
    <row r="20" spans="1:10" ht="14.25" customHeight="1">
      <c r="A20" s="2" t="s">
        <v>308</v>
      </c>
      <c r="H20" s="32">
        <f>31429+40427</f>
        <v>71856</v>
      </c>
      <c r="I20" s="34">
        <v>52168</v>
      </c>
      <c r="J20" s="17"/>
    </row>
    <row r="21" spans="1:10" ht="14.25" customHeight="1">
      <c r="A21" s="2" t="s">
        <v>301</v>
      </c>
      <c r="H21" s="32">
        <v>7150</v>
      </c>
      <c r="I21" s="34">
        <v>1647</v>
      </c>
      <c r="J21" s="17"/>
    </row>
    <row r="22" spans="1:10" ht="14.25" customHeight="1">
      <c r="A22" s="2" t="s">
        <v>309</v>
      </c>
      <c r="H22" s="32">
        <v>693114</v>
      </c>
      <c r="I22" s="34">
        <v>916292</v>
      </c>
      <c r="J22" s="17"/>
    </row>
    <row r="23" spans="1:10" ht="14.25" customHeight="1">
      <c r="A23" s="2" t="s">
        <v>172</v>
      </c>
      <c r="H23" s="32">
        <v>319386</v>
      </c>
      <c r="I23" s="34">
        <v>265401</v>
      </c>
      <c r="J23" s="17"/>
    </row>
    <row r="24" spans="1:10" ht="14.25" customHeight="1">
      <c r="A24" s="30" t="s">
        <v>83</v>
      </c>
      <c r="B24" s="30"/>
      <c r="C24" s="30"/>
      <c r="D24" s="30"/>
      <c r="E24" s="30"/>
      <c r="F24" s="30"/>
      <c r="G24" s="30"/>
      <c r="H24" s="37">
        <v>24178</v>
      </c>
      <c r="I24" s="35">
        <v>77971</v>
      </c>
      <c r="J24" s="18"/>
    </row>
    <row r="25" spans="1:10" ht="14.25" customHeight="1">
      <c r="A25" s="4"/>
      <c r="B25" s="4"/>
      <c r="C25" s="4"/>
      <c r="D25" s="4"/>
      <c r="E25" s="4"/>
      <c r="F25" s="4"/>
      <c r="G25" s="4"/>
      <c r="H25" s="36">
        <f>SUM(H19:H24)</f>
        <v>1130397</v>
      </c>
      <c r="I25" s="29">
        <f>SUM(I19:I24)</f>
        <v>1332015</v>
      </c>
      <c r="J25" s="17"/>
    </row>
    <row r="26" spans="1:10" ht="14.25" customHeight="1">
      <c r="A26" s="5" t="s">
        <v>84</v>
      </c>
      <c r="H26" s="32"/>
      <c r="I26" s="34"/>
      <c r="J26" s="17"/>
    </row>
    <row r="27" spans="1:10" ht="14.25" customHeight="1">
      <c r="A27" s="2" t="s">
        <v>310</v>
      </c>
      <c r="H27" s="32">
        <f>34506+160575</f>
        <v>195081</v>
      </c>
      <c r="I27" s="34">
        <v>397629</v>
      </c>
      <c r="J27" s="17"/>
    </row>
    <row r="28" spans="1:10" ht="14.25" customHeight="1">
      <c r="A28" s="2" t="s">
        <v>311</v>
      </c>
      <c r="H28" s="32">
        <v>1425</v>
      </c>
      <c r="I28" s="34">
        <v>711</v>
      </c>
      <c r="J28" s="17"/>
    </row>
    <row r="29" spans="1:10" ht="14.25" customHeight="1">
      <c r="A29" s="2" t="s">
        <v>85</v>
      </c>
      <c r="H29" s="32">
        <v>3477</v>
      </c>
      <c r="I29" s="34">
        <v>4997</v>
      </c>
      <c r="J29" s="17"/>
    </row>
    <row r="30" spans="1:10" ht="14.25" customHeight="1">
      <c r="A30" s="2" t="s">
        <v>86</v>
      </c>
      <c r="H30" s="32">
        <v>29956</v>
      </c>
      <c r="I30" s="34">
        <v>19836</v>
      </c>
      <c r="J30" s="17"/>
    </row>
    <row r="31" spans="1:10" ht="14.25" customHeight="1">
      <c r="A31" s="4"/>
      <c r="B31" s="4"/>
      <c r="C31" s="4"/>
      <c r="D31" s="4"/>
      <c r="E31" s="4"/>
      <c r="F31" s="4"/>
      <c r="G31" s="4"/>
      <c r="H31" s="36">
        <f>SUM(H27:H30)</f>
        <v>229939</v>
      </c>
      <c r="I31" s="29">
        <f>SUM(I27:I30)</f>
        <v>423173</v>
      </c>
      <c r="J31" s="17"/>
    </row>
    <row r="32" spans="1:10" ht="14.25" customHeight="1">
      <c r="A32" s="105" t="s">
        <v>87</v>
      </c>
      <c r="B32" s="22"/>
      <c r="C32" s="22"/>
      <c r="D32" s="22"/>
      <c r="E32" s="22"/>
      <c r="F32" s="22"/>
      <c r="G32" s="22"/>
      <c r="H32" s="106">
        <f>H25-H31</f>
        <v>900458</v>
      </c>
      <c r="I32" s="106">
        <f>I25-I31</f>
        <v>908842</v>
      </c>
      <c r="J32" s="22"/>
    </row>
    <row r="33" spans="1:10" ht="1.5" customHeight="1">
      <c r="A33" s="19"/>
      <c r="B33" s="20"/>
      <c r="C33" s="20"/>
      <c r="D33" s="20"/>
      <c r="E33" s="20"/>
      <c r="F33" s="20"/>
      <c r="G33" s="20"/>
      <c r="H33" s="21"/>
      <c r="I33" s="21"/>
      <c r="J33" s="22"/>
    </row>
    <row r="34" spans="1:9" ht="14.25" customHeight="1" thickBot="1">
      <c r="A34" s="10"/>
      <c r="B34" s="10"/>
      <c r="C34" s="10"/>
      <c r="D34" s="10"/>
      <c r="E34" s="10"/>
      <c r="F34" s="10"/>
      <c r="G34" s="10"/>
      <c r="H34" s="23">
        <f>SUM(H10:H16)+H32</f>
        <v>1655884</v>
      </c>
      <c r="I34" s="23">
        <f>SUM(I10:I16)+I32</f>
        <v>1697060</v>
      </c>
    </row>
    <row r="35" spans="1:9" ht="15.75" customHeight="1">
      <c r="A35" s="5" t="s">
        <v>88</v>
      </c>
      <c r="H35" s="25"/>
      <c r="I35" s="15"/>
    </row>
    <row r="36" spans="1:9" ht="14.25" customHeight="1">
      <c r="A36" s="2" t="s">
        <v>89</v>
      </c>
      <c r="H36" s="25">
        <f>+SICE!F24</f>
        <v>1212105</v>
      </c>
      <c r="I36" s="15">
        <v>1037588</v>
      </c>
    </row>
    <row r="37" spans="1:9" ht="14.25" customHeight="1">
      <c r="A37" s="2" t="s">
        <v>173</v>
      </c>
      <c r="H37" s="25">
        <v>296411</v>
      </c>
      <c r="I37" s="15">
        <v>261607</v>
      </c>
    </row>
    <row r="38" spans="1:9" ht="14.25" customHeight="1">
      <c r="A38" s="2" t="s">
        <v>174</v>
      </c>
      <c r="H38" s="25">
        <f>+SICE!I24-'BS'!H37-'BS'!H43</f>
        <v>1519</v>
      </c>
      <c r="I38" s="15">
        <v>-655</v>
      </c>
    </row>
    <row r="39" spans="1:9" ht="14.25" customHeight="1">
      <c r="A39" s="2" t="s">
        <v>241</v>
      </c>
      <c r="H39" s="15">
        <v>52296</v>
      </c>
      <c r="I39" s="15">
        <v>133134</v>
      </c>
    </row>
    <row r="40" spans="1:9" ht="14.25" customHeight="1">
      <c r="A40" s="2" t="s">
        <v>159</v>
      </c>
      <c r="H40" s="16">
        <f>+SICE!K24</f>
        <v>448838</v>
      </c>
      <c r="I40" s="16">
        <v>367374</v>
      </c>
    </row>
    <row r="41" spans="1:9" ht="14.25" customHeight="1">
      <c r="A41" s="2" t="s">
        <v>243</v>
      </c>
      <c r="H41" s="25">
        <f>SUM(H36:H40)</f>
        <v>2011169</v>
      </c>
      <c r="I41" s="25">
        <f>SUM(I36:I40)</f>
        <v>1799048</v>
      </c>
    </row>
    <row r="42" spans="1:9" ht="14.25" customHeight="1">
      <c r="A42" s="2" t="s">
        <v>175</v>
      </c>
      <c r="H42" s="15">
        <f>+SICE!G24</f>
        <v>-373568</v>
      </c>
      <c r="I42" s="15">
        <v>-215258</v>
      </c>
    </row>
    <row r="43" spans="1:9" ht="14.25" customHeight="1">
      <c r="A43" s="2" t="s">
        <v>227</v>
      </c>
      <c r="H43" s="16">
        <v>-57355</v>
      </c>
      <c r="I43" s="16">
        <v>-57355</v>
      </c>
    </row>
    <row r="44" spans="1:9" ht="14.25" customHeight="1">
      <c r="A44" s="2" t="s">
        <v>248</v>
      </c>
      <c r="H44" s="25">
        <f>SUM(H41:H43)</f>
        <v>1580246</v>
      </c>
      <c r="I44" s="25">
        <f>SUM(I41:I43)</f>
        <v>1526435</v>
      </c>
    </row>
    <row r="45" spans="1:9" ht="14.25" customHeight="1">
      <c r="A45" s="2" t="s">
        <v>312</v>
      </c>
      <c r="H45" s="16">
        <v>7619</v>
      </c>
      <c r="I45" s="16">
        <v>8485</v>
      </c>
    </row>
    <row r="46" spans="1:9" ht="14.25" customHeight="1">
      <c r="A46" s="2" t="s">
        <v>250</v>
      </c>
      <c r="H46" s="25">
        <f>+H44+H45</f>
        <v>1587865</v>
      </c>
      <c r="I46" s="25">
        <f>+I44+I45</f>
        <v>1534920</v>
      </c>
    </row>
    <row r="47" spans="1:9" ht="14.25" customHeight="1">
      <c r="A47" s="2" t="s">
        <v>258</v>
      </c>
      <c r="H47" s="25">
        <v>2132</v>
      </c>
      <c r="I47" s="25">
        <v>1858</v>
      </c>
    </row>
    <row r="48" spans="1:9" ht="14.25" customHeight="1">
      <c r="A48" s="2" t="s">
        <v>293</v>
      </c>
      <c r="H48" s="25">
        <v>15131</v>
      </c>
      <c r="I48" s="25">
        <v>11889</v>
      </c>
    </row>
    <row r="49" spans="1:9" ht="14.25" customHeight="1">
      <c r="A49" s="2" t="s">
        <v>176</v>
      </c>
      <c r="H49" s="25">
        <v>32364</v>
      </c>
      <c r="I49" s="15">
        <v>31528</v>
      </c>
    </row>
    <row r="50" spans="1:9" ht="14.25" customHeight="1">
      <c r="A50" s="2" t="s">
        <v>249</v>
      </c>
      <c r="H50" s="2"/>
      <c r="I50" s="2"/>
    </row>
    <row r="51" spans="1:9" ht="14.25" customHeight="1">
      <c r="A51" s="2" t="s">
        <v>242</v>
      </c>
      <c r="H51" s="25">
        <v>18392</v>
      </c>
      <c r="I51" s="25">
        <v>116865</v>
      </c>
    </row>
    <row r="52" spans="1:12" ht="14.25" customHeight="1" thickBot="1">
      <c r="A52" s="26"/>
      <c r="B52" s="26"/>
      <c r="C52" s="26"/>
      <c r="D52" s="26"/>
      <c r="E52" s="26"/>
      <c r="F52" s="26"/>
      <c r="G52" s="26"/>
      <c r="H52" s="24">
        <f>SUM(H46:H51)</f>
        <v>1655884</v>
      </c>
      <c r="I52" s="24">
        <f>SUM(I46:I51)</f>
        <v>1697060</v>
      </c>
      <c r="K52" s="171">
        <f>ROUND(+H52-H34,0)</f>
        <v>0</v>
      </c>
      <c r="L52" s="170">
        <f>+I52-I34</f>
        <v>0</v>
      </c>
    </row>
    <row r="53" spans="1:9" ht="15.75" customHeight="1">
      <c r="A53" s="2" t="s">
        <v>297</v>
      </c>
      <c r="H53" s="104">
        <f>($H$44-$H$16-H39)/($H$36-78600)</f>
        <v>0.810334317007865</v>
      </c>
      <c r="I53" s="104">
        <f>($I$44-$I$16-I39)/($I$36-37100)</f>
        <v>0.7731557000183911</v>
      </c>
    </row>
    <row r="54" spans="4:9" ht="15.75" customHeight="1">
      <c r="D54" s="2" t="s">
        <v>246</v>
      </c>
      <c r="H54" s="104">
        <f>($H$44-$H$16)/($H$36-78600+((139408)/1.2))</f>
        <v>0.7768511096855591</v>
      </c>
      <c r="I54" s="104">
        <f>($I$44-$I$16)/($I$36-37100+((313929)/1.2))</f>
        <v>0.718382246034472</v>
      </c>
    </row>
    <row r="55" spans="1:9" ht="14.25" customHeight="1">
      <c r="A55" s="2" t="s">
        <v>155</v>
      </c>
      <c r="D55" s="2" t="s">
        <v>247</v>
      </c>
      <c r="H55" s="104">
        <f>ROUND((+$H$44-H39)/($H$36-78600),2)</f>
        <v>1.35</v>
      </c>
      <c r="I55" s="104">
        <f>(+$I$44-I39)/($I$36-37100)</f>
        <v>1.3926214007564308</v>
      </c>
    </row>
    <row r="56" spans="4:9" ht="14.25" customHeight="1">
      <c r="D56" s="2" t="s">
        <v>246</v>
      </c>
      <c r="H56" s="104">
        <f>ROUND(+$H$44/($H$36-78600+((139408)/1.2)),2)</f>
        <v>1.26</v>
      </c>
      <c r="I56" s="104">
        <f>+$I$44/($I$36-37100+((313929)/1.2))</f>
        <v>1.2094449271073386</v>
      </c>
    </row>
    <row r="57" spans="8:9" ht="2.25" customHeight="1">
      <c r="H57" s="104"/>
      <c r="I57" s="146"/>
    </row>
    <row r="58" spans="1:9" ht="14.25" customHeight="1">
      <c r="A58" s="2" t="s">
        <v>272</v>
      </c>
      <c r="H58" s="104"/>
      <c r="I58" s="146"/>
    </row>
    <row r="59" spans="1:9" ht="14.25" customHeight="1">
      <c r="A59" s="2" t="s">
        <v>406</v>
      </c>
      <c r="H59" s="104"/>
      <c r="I59" s="146"/>
    </row>
    <row r="60" spans="1:9" ht="14.25" customHeight="1">
      <c r="A60" s="2" t="s">
        <v>461</v>
      </c>
      <c r="H60" s="104"/>
      <c r="I60" s="146"/>
    </row>
    <row r="61" spans="1:9" ht="14.25" customHeight="1">
      <c r="A61" s="2" t="s">
        <v>407</v>
      </c>
      <c r="H61" s="104"/>
      <c r="I61" s="146"/>
    </row>
    <row r="62" spans="1:9" ht="14.25" customHeight="1">
      <c r="A62" s="2" t="s">
        <v>408</v>
      </c>
      <c r="H62" s="104"/>
      <c r="I62" s="146"/>
    </row>
    <row r="63" spans="8:9" ht="1.5" customHeight="1">
      <c r="H63" s="104"/>
      <c r="I63" s="146"/>
    </row>
    <row r="64" spans="1:9" ht="14.25" customHeight="1">
      <c r="A64" s="2" t="s">
        <v>273</v>
      </c>
      <c r="H64" s="104"/>
      <c r="I64" s="146"/>
    </row>
    <row r="65" spans="1:9" ht="14.25" customHeight="1">
      <c r="A65" s="2" t="s">
        <v>254</v>
      </c>
      <c r="H65" s="104"/>
      <c r="I65" s="146"/>
    </row>
    <row r="66" spans="1:9" ht="14.25" customHeight="1">
      <c r="A66" s="2" t="s">
        <v>276</v>
      </c>
      <c r="H66" s="104"/>
      <c r="I66" s="146"/>
    </row>
    <row r="67" spans="1:9" ht="13.5" customHeight="1">
      <c r="A67" s="2" t="s">
        <v>352</v>
      </c>
      <c r="H67" s="104"/>
      <c r="I67" s="146"/>
    </row>
    <row r="68" spans="1:9" ht="13.5" customHeight="1">
      <c r="A68" s="5" t="s">
        <v>325</v>
      </c>
      <c r="H68" s="25"/>
      <c r="I68" s="15"/>
    </row>
    <row r="69" spans="8:9" ht="15">
      <c r="H69" s="108">
        <f>ROUND(+H52-H34,0)</f>
        <v>0</v>
      </c>
      <c r="I69" s="108">
        <f>+I52-I34</f>
        <v>0</v>
      </c>
    </row>
  </sheetData>
  <mergeCells count="1">
    <mergeCell ref="H6:I6"/>
  </mergeCells>
  <printOptions/>
  <pageMargins left="0.62" right="0.21" top="0.64" bottom="0" header="0.31" footer="0.5"/>
  <pageSetup horizontalDpi="600" verticalDpi="600" orientation="portrait" paperSize="9" scale="86" r:id="rId1"/>
  <headerFooter alignWithMargins="0">
    <oddHeader>&amp;R&amp;"Arial,Bold"Berjaya Sports Toto Berhad&amp;U
&amp;9&amp;U(&amp;"Arial,Regular"Company No. 9109-K)
Quarterly Report 30-4-2005</oddHeader>
    <oddFooter>&amp;R&amp;"Arial,Bold"    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5:N87"/>
  <sheetViews>
    <sheetView showGridLines="0" workbookViewId="0" topLeftCell="A25">
      <selection activeCell="J31" sqref="J31"/>
    </sheetView>
  </sheetViews>
  <sheetFormatPr defaultColWidth="9.140625" defaultRowHeight="12.75"/>
  <cols>
    <col min="1" max="1" width="7.140625" style="2" customWidth="1"/>
    <col min="2" max="3" width="7.8515625" style="2" customWidth="1"/>
    <col min="4" max="4" width="6.421875" style="2" customWidth="1"/>
    <col min="5" max="5" width="2.7109375" style="2" customWidth="1"/>
    <col min="6" max="6" width="10.140625" style="2" customWidth="1"/>
    <col min="7" max="7" width="9.8515625" style="27" customWidth="1"/>
    <col min="8" max="8" width="13.00390625" style="27" customWidth="1"/>
    <col min="9" max="9" width="10.8515625" style="2" customWidth="1"/>
    <col min="10" max="10" width="1.1484375" style="2" customWidth="1"/>
    <col min="11" max="11" width="10.8515625" style="2" customWidth="1"/>
    <col min="12" max="12" width="10.140625" style="2" customWidth="1"/>
    <col min="13" max="16384" width="9.140625" style="2" customWidth="1"/>
  </cols>
  <sheetData>
    <row r="4" ht="10.5" customHeight="1"/>
    <row r="5" ht="15">
      <c r="A5" s="5" t="str">
        <f>PL!A5</f>
        <v>UNAUDITED QUARTERLY FINANCIAL REPORT FOR THE YEAR ENDED 30 APRIL 2005</v>
      </c>
    </row>
    <row r="6" ht="5.25" customHeight="1"/>
    <row r="7" ht="15">
      <c r="A7" s="5" t="s">
        <v>154</v>
      </c>
    </row>
    <row r="8" ht="15">
      <c r="A8" s="5"/>
    </row>
    <row r="9" ht="15">
      <c r="A9" s="5"/>
    </row>
    <row r="10" spans="1:11" ht="15">
      <c r="A10" s="5"/>
      <c r="G10" s="96"/>
      <c r="H10" s="2"/>
      <c r="I10" s="198" t="s">
        <v>275</v>
      </c>
      <c r="J10" s="198"/>
      <c r="K10" s="198"/>
    </row>
    <row r="11" spans="6:12" ht="15">
      <c r="F11" s="94" t="s">
        <v>140</v>
      </c>
      <c r="G11" s="94" t="s">
        <v>177</v>
      </c>
      <c r="H11" s="147" t="s">
        <v>256</v>
      </c>
      <c r="I11" s="94" t="s">
        <v>90</v>
      </c>
      <c r="J11" s="94"/>
      <c r="K11" s="95"/>
      <c r="L11" s="94"/>
    </row>
    <row r="12" spans="6:12" ht="15">
      <c r="F12" s="94" t="s">
        <v>141</v>
      </c>
      <c r="G12" s="94" t="s">
        <v>178</v>
      </c>
      <c r="H12" s="147" t="s">
        <v>255</v>
      </c>
      <c r="I12" s="94" t="s">
        <v>93</v>
      </c>
      <c r="J12" s="94"/>
      <c r="K12" s="94" t="s">
        <v>91</v>
      </c>
      <c r="L12" s="94" t="s">
        <v>92</v>
      </c>
    </row>
    <row r="13" spans="6:12" ht="15">
      <c r="F13" s="94" t="s">
        <v>73</v>
      </c>
      <c r="G13" s="94" t="s">
        <v>73</v>
      </c>
      <c r="H13" s="94" t="s">
        <v>73</v>
      </c>
      <c r="I13" s="94" t="s">
        <v>73</v>
      </c>
      <c r="J13" s="94"/>
      <c r="K13" s="94" t="s">
        <v>73</v>
      </c>
      <c r="L13" s="94" t="s">
        <v>73</v>
      </c>
    </row>
    <row r="14" ht="15">
      <c r="F14" s="27"/>
    </row>
    <row r="15" spans="1:12" ht="15">
      <c r="A15" s="157" t="s">
        <v>313</v>
      </c>
      <c r="B15" s="131"/>
      <c r="C15" s="131"/>
      <c r="F15" s="77">
        <v>1037588</v>
      </c>
      <c r="G15" s="77">
        <v>-215258</v>
      </c>
      <c r="H15" s="77">
        <v>133134</v>
      </c>
      <c r="I15" s="77">
        <f>261607-57355-655</f>
        <v>203597</v>
      </c>
      <c r="J15" s="150" t="s">
        <v>37</v>
      </c>
      <c r="K15" s="77">
        <v>367374</v>
      </c>
      <c r="L15" s="77">
        <f>SUM(F15:K15)</f>
        <v>1526435</v>
      </c>
    </row>
    <row r="16" spans="1:12" ht="15">
      <c r="A16" s="137" t="s">
        <v>224</v>
      </c>
      <c r="B16" s="131"/>
      <c r="C16" s="131"/>
      <c r="F16" s="77">
        <v>174517</v>
      </c>
      <c r="G16" s="75">
        <v>0</v>
      </c>
      <c r="H16" s="52">
        <v>0</v>
      </c>
      <c r="I16" s="65">
        <v>34804</v>
      </c>
      <c r="J16" s="65"/>
      <c r="K16" s="39">
        <v>0</v>
      </c>
      <c r="L16" s="39">
        <f>SUM(F16:K16)</f>
        <v>209321</v>
      </c>
    </row>
    <row r="17" spans="1:12" ht="15">
      <c r="A17" s="137" t="s">
        <v>257</v>
      </c>
      <c r="B17" s="131"/>
      <c r="C17" s="131"/>
      <c r="F17" s="77">
        <v>0</v>
      </c>
      <c r="G17" s="75">
        <v>0</v>
      </c>
      <c r="H17" s="52">
        <v>-80838</v>
      </c>
      <c r="I17" s="65">
        <v>0</v>
      </c>
      <c r="J17" s="65"/>
      <c r="K17" s="39">
        <v>0</v>
      </c>
      <c r="L17" s="39">
        <f>SUM(F17:K17)</f>
        <v>-80838</v>
      </c>
    </row>
    <row r="18" spans="1:12" ht="15">
      <c r="A18" s="4" t="s">
        <v>225</v>
      </c>
      <c r="B18" s="4"/>
      <c r="C18" s="4"/>
      <c r="D18" s="4"/>
      <c r="E18" s="4"/>
      <c r="F18" s="77">
        <v>0</v>
      </c>
      <c r="G18" s="77">
        <v>-158310</v>
      </c>
      <c r="H18" s="52">
        <v>0</v>
      </c>
      <c r="I18" s="65">
        <v>0</v>
      </c>
      <c r="J18" s="65"/>
      <c r="K18" s="65">
        <v>0</v>
      </c>
      <c r="L18" s="39">
        <f>SUM(F18:K18)</f>
        <v>-158310</v>
      </c>
    </row>
    <row r="19" spans="1:12" ht="15">
      <c r="A19" s="4" t="s">
        <v>215</v>
      </c>
      <c r="B19" s="4"/>
      <c r="C19" s="4"/>
      <c r="D19" s="4"/>
      <c r="E19" s="4"/>
      <c r="F19" s="77"/>
      <c r="G19" s="77"/>
      <c r="H19" s="52"/>
      <c r="I19" s="65"/>
      <c r="J19" s="65"/>
      <c r="K19" s="65"/>
      <c r="L19" s="39"/>
    </row>
    <row r="20" spans="1:12" ht="15">
      <c r="A20" s="4"/>
      <c r="B20" s="4" t="s">
        <v>216</v>
      </c>
      <c r="C20" s="4"/>
      <c r="D20" s="4"/>
      <c r="E20" s="4"/>
      <c r="F20" s="77">
        <v>0</v>
      </c>
      <c r="G20" s="77">
        <v>0</v>
      </c>
      <c r="H20" s="52">
        <v>0</v>
      </c>
      <c r="I20" s="65">
        <v>2174</v>
      </c>
      <c r="J20" s="65"/>
      <c r="K20" s="65">
        <v>0</v>
      </c>
      <c r="L20" s="39">
        <f>SUM(F20:K20)</f>
        <v>2174</v>
      </c>
    </row>
    <row r="21" spans="1:12" ht="15">
      <c r="A21" s="4" t="s">
        <v>286</v>
      </c>
      <c r="B21" s="4"/>
      <c r="C21" s="4"/>
      <c r="D21" s="4"/>
      <c r="E21" s="4"/>
      <c r="F21" s="77">
        <v>0</v>
      </c>
      <c r="G21" s="77">
        <v>0</v>
      </c>
      <c r="H21" s="52">
        <v>0</v>
      </c>
      <c r="I21" s="65">
        <v>0</v>
      </c>
      <c r="J21" s="65"/>
      <c r="K21" s="65">
        <v>-253591</v>
      </c>
      <c r="L21" s="39">
        <f>SUM(F21:K21)</f>
        <v>-253591</v>
      </c>
    </row>
    <row r="22" spans="1:12" ht="15">
      <c r="A22" s="6" t="s">
        <v>70</v>
      </c>
      <c r="B22" s="6"/>
      <c r="C22" s="6"/>
      <c r="D22" s="6"/>
      <c r="E22" s="6"/>
      <c r="F22" s="92">
        <v>0</v>
      </c>
      <c r="G22" s="92">
        <v>0</v>
      </c>
      <c r="H22" s="145">
        <v>0</v>
      </c>
      <c r="I22" s="44">
        <v>0</v>
      </c>
      <c r="J22" s="44"/>
      <c r="K22" s="44">
        <v>335055</v>
      </c>
      <c r="L22" s="44">
        <f>SUM(I22:K22)</f>
        <v>335055</v>
      </c>
    </row>
    <row r="23" spans="6:12" ht="3.75" customHeight="1">
      <c r="F23" s="27"/>
      <c r="H23" s="52"/>
      <c r="I23" s="39"/>
      <c r="J23" s="39"/>
      <c r="K23" s="39"/>
      <c r="L23" s="39"/>
    </row>
    <row r="24" spans="1:12" ht="15">
      <c r="A24" s="178" t="s">
        <v>401</v>
      </c>
      <c r="C24" s="131"/>
      <c r="F24" s="39">
        <f aca="true" t="shared" si="0" ref="F24:L24">SUM(F15:F22)</f>
        <v>1212105</v>
      </c>
      <c r="G24" s="39">
        <f t="shared" si="0"/>
        <v>-373568</v>
      </c>
      <c r="H24" s="39">
        <f t="shared" si="0"/>
        <v>52296</v>
      </c>
      <c r="I24" s="39">
        <f t="shared" si="0"/>
        <v>240575</v>
      </c>
      <c r="J24" s="52" t="s">
        <v>37</v>
      </c>
      <c r="K24" s="39">
        <f t="shared" si="0"/>
        <v>448838</v>
      </c>
      <c r="L24" s="39">
        <f t="shared" si="0"/>
        <v>1580246</v>
      </c>
    </row>
    <row r="25" spans="1:12" ht="4.5" customHeight="1">
      <c r="A25" s="6"/>
      <c r="B25" s="6"/>
      <c r="C25" s="6"/>
      <c r="D25" s="6"/>
      <c r="E25" s="6"/>
      <c r="F25" s="91"/>
      <c r="G25" s="91"/>
      <c r="H25" s="145"/>
      <c r="I25" s="44"/>
      <c r="J25" s="44"/>
      <c r="K25" s="44"/>
      <c r="L25" s="44"/>
    </row>
    <row r="26" spans="6:12" ht="15">
      <c r="F26" s="27"/>
      <c r="H26" s="52"/>
      <c r="I26" s="39"/>
      <c r="J26" s="39"/>
      <c r="K26" s="39"/>
      <c r="L26" s="39"/>
    </row>
    <row r="27" spans="1:12" ht="4.5" customHeight="1">
      <c r="A27" s="4"/>
      <c r="B27" s="4"/>
      <c r="C27" s="4"/>
      <c r="D27" s="4"/>
      <c r="E27" s="4"/>
      <c r="F27" s="4"/>
      <c r="G27" s="59"/>
      <c r="H27" s="52"/>
      <c r="I27" s="65"/>
      <c r="J27" s="65"/>
      <c r="K27" s="65"/>
      <c r="L27" s="65"/>
    </row>
    <row r="28" spans="1:12" ht="16.5" customHeight="1">
      <c r="A28" s="196"/>
      <c r="B28" s="196"/>
      <c r="C28" s="4"/>
      <c r="D28" s="4"/>
      <c r="E28" s="4"/>
      <c r="F28" s="4"/>
      <c r="G28" s="59"/>
      <c r="H28" s="52"/>
      <c r="I28" s="65"/>
      <c r="J28" s="65"/>
      <c r="K28" s="65"/>
      <c r="L28" s="65"/>
    </row>
    <row r="29" spans="1:12" ht="15" customHeight="1">
      <c r="A29" s="131" t="s">
        <v>314</v>
      </c>
      <c r="B29" s="131"/>
      <c r="C29" s="131"/>
      <c r="D29" s="4"/>
      <c r="E29" s="4"/>
      <c r="F29" s="65">
        <v>801315</v>
      </c>
      <c r="G29" s="150">
        <v>-206089</v>
      </c>
      <c r="H29" s="52">
        <v>240702</v>
      </c>
      <c r="I29" s="65">
        <f>192817-35348+350</f>
        <v>157819</v>
      </c>
      <c r="J29" s="65"/>
      <c r="K29" s="65">
        <v>580027</v>
      </c>
      <c r="L29" s="65">
        <f>SUM(F29:K29)</f>
        <v>1573774</v>
      </c>
    </row>
    <row r="30" spans="1:12" ht="15" customHeight="1">
      <c r="A30" s="137" t="s">
        <v>364</v>
      </c>
      <c r="B30" s="131"/>
      <c r="C30" s="131"/>
      <c r="D30" s="4"/>
      <c r="E30" s="4"/>
      <c r="F30" s="44">
        <v>0</v>
      </c>
      <c r="G30" s="145">
        <v>0</v>
      </c>
      <c r="H30" s="145">
        <v>0</v>
      </c>
      <c r="I30" s="44">
        <v>0</v>
      </c>
      <c r="J30" s="44"/>
      <c r="K30" s="44">
        <v>-1129</v>
      </c>
      <c r="L30" s="44">
        <f>SUM(F30:K30)</f>
        <v>-1129</v>
      </c>
    </row>
    <row r="31" spans="1:12" ht="15" customHeight="1">
      <c r="A31" s="137" t="s">
        <v>365</v>
      </c>
      <c r="B31" s="131"/>
      <c r="C31" s="131"/>
      <c r="D31" s="4"/>
      <c r="E31" s="4"/>
      <c r="F31" s="65">
        <f aca="true" t="shared" si="1" ref="F31:L31">SUM(F29:F30)</f>
        <v>801315</v>
      </c>
      <c r="G31" s="65">
        <f t="shared" si="1"/>
        <v>-206089</v>
      </c>
      <c r="H31" s="65">
        <f t="shared" si="1"/>
        <v>240702</v>
      </c>
      <c r="I31" s="65">
        <f t="shared" si="1"/>
        <v>157819</v>
      </c>
      <c r="J31" s="150"/>
      <c r="K31" s="65">
        <f t="shared" si="1"/>
        <v>578898</v>
      </c>
      <c r="L31" s="65">
        <f t="shared" si="1"/>
        <v>1572645</v>
      </c>
    </row>
    <row r="32" spans="1:12" ht="15">
      <c r="A32" s="137" t="s">
        <v>224</v>
      </c>
      <c r="B32" s="131"/>
      <c r="C32" s="131"/>
      <c r="F32" s="39">
        <v>236273</v>
      </c>
      <c r="G32" s="39">
        <v>0</v>
      </c>
      <c r="H32" s="39">
        <v>0</v>
      </c>
      <c r="I32" s="39">
        <v>68790</v>
      </c>
      <c r="J32" s="39"/>
      <c r="K32" s="73">
        <v>0</v>
      </c>
      <c r="L32" s="39">
        <f>SUM(F32:K32)</f>
        <v>305063</v>
      </c>
    </row>
    <row r="33" spans="1:12" ht="15">
      <c r="A33" s="4" t="s">
        <v>225</v>
      </c>
      <c r="B33" s="4"/>
      <c r="C33" s="4"/>
      <c r="F33" s="189">
        <v>0</v>
      </c>
      <c r="G33" s="39">
        <v>-9169</v>
      </c>
      <c r="H33" s="39">
        <v>0</v>
      </c>
      <c r="I33" s="39">
        <v>0</v>
      </c>
      <c r="J33" s="39"/>
      <c r="K33" s="73">
        <v>0</v>
      </c>
      <c r="L33" s="39">
        <f aca="true" t="shared" si="2" ref="L33:L39">SUM(F33:K33)</f>
        <v>-9169</v>
      </c>
    </row>
    <row r="34" spans="1:12" ht="15">
      <c r="A34" s="4" t="s">
        <v>257</v>
      </c>
      <c r="B34" s="4"/>
      <c r="C34" s="4"/>
      <c r="F34" s="39">
        <v>0</v>
      </c>
      <c r="G34" s="39">
        <v>0</v>
      </c>
      <c r="H34" s="39">
        <v>-107568</v>
      </c>
      <c r="I34" s="39">
        <v>0</v>
      </c>
      <c r="J34" s="39"/>
      <c r="K34" s="73">
        <v>0</v>
      </c>
      <c r="L34" s="39">
        <f t="shared" si="2"/>
        <v>-107568</v>
      </c>
    </row>
    <row r="35" spans="1:12" ht="15">
      <c r="A35" s="4" t="s">
        <v>226</v>
      </c>
      <c r="B35" s="4"/>
      <c r="C35" s="4"/>
      <c r="F35" s="39">
        <v>0</v>
      </c>
      <c r="G35" s="39">
        <v>0</v>
      </c>
      <c r="H35" s="39">
        <v>0</v>
      </c>
      <c r="I35" s="39">
        <v>-22007</v>
      </c>
      <c r="J35" s="39"/>
      <c r="K35" s="73">
        <v>0</v>
      </c>
      <c r="L35" s="39">
        <f t="shared" si="2"/>
        <v>-22007</v>
      </c>
    </row>
    <row r="36" spans="1:12" ht="15">
      <c r="A36" s="4" t="s">
        <v>215</v>
      </c>
      <c r="B36" s="4"/>
      <c r="C36" s="4"/>
      <c r="F36" s="39"/>
      <c r="G36" s="39"/>
      <c r="H36" s="39"/>
      <c r="I36" s="39"/>
      <c r="J36" s="39"/>
      <c r="K36" s="73"/>
      <c r="L36" s="39"/>
    </row>
    <row r="37" spans="1:12" ht="15">
      <c r="A37" s="4"/>
      <c r="B37" s="4" t="s">
        <v>216</v>
      </c>
      <c r="C37" s="4"/>
      <c r="F37" s="39">
        <v>0</v>
      </c>
      <c r="G37" s="39">
        <v>0</v>
      </c>
      <c r="H37" s="39">
        <v>0</v>
      </c>
      <c r="I37" s="39">
        <v>-1005</v>
      </c>
      <c r="J37" s="39"/>
      <c r="K37" s="73">
        <v>0</v>
      </c>
      <c r="L37" s="39">
        <f t="shared" si="2"/>
        <v>-1005</v>
      </c>
    </row>
    <row r="38" spans="1:12" ht="15">
      <c r="A38" s="4" t="s">
        <v>60</v>
      </c>
      <c r="B38" s="4"/>
      <c r="C38" s="4"/>
      <c r="F38" s="39">
        <v>0</v>
      </c>
      <c r="G38" s="39">
        <v>0</v>
      </c>
      <c r="H38" s="39">
        <v>0</v>
      </c>
      <c r="I38" s="39">
        <v>0</v>
      </c>
      <c r="J38" s="39"/>
      <c r="K38" s="73">
        <v>-349563</v>
      </c>
      <c r="L38" s="39">
        <f t="shared" si="2"/>
        <v>-349563</v>
      </c>
    </row>
    <row r="39" spans="1:12" ht="15">
      <c r="A39" s="6" t="s">
        <v>70</v>
      </c>
      <c r="B39" s="6"/>
      <c r="C39" s="6"/>
      <c r="D39" s="6"/>
      <c r="E39" s="6"/>
      <c r="F39" s="44">
        <v>0</v>
      </c>
      <c r="G39" s="44">
        <v>0</v>
      </c>
      <c r="H39" s="44">
        <v>0</v>
      </c>
      <c r="I39" s="44">
        <v>0</v>
      </c>
      <c r="J39" s="44"/>
      <c r="K39" s="158">
        <f>+PL!I29</f>
        <v>138039</v>
      </c>
      <c r="L39" s="44">
        <f t="shared" si="2"/>
        <v>138039</v>
      </c>
    </row>
    <row r="40" spans="6:12" ht="4.5" customHeight="1">
      <c r="F40" s="39"/>
      <c r="G40" s="39"/>
      <c r="H40" s="39"/>
      <c r="I40" s="39"/>
      <c r="J40" s="39"/>
      <c r="K40" s="73"/>
      <c r="L40" s="39"/>
    </row>
    <row r="41" spans="1:12" ht="15">
      <c r="A41" s="178" t="s">
        <v>402</v>
      </c>
      <c r="C41"/>
      <c r="F41" s="39">
        <f aca="true" t="shared" si="3" ref="F41:L41">SUM(F31:F39)</f>
        <v>1037588</v>
      </c>
      <c r="G41" s="39">
        <f t="shared" si="3"/>
        <v>-215258</v>
      </c>
      <c r="H41" s="39">
        <f>SUM(H31:H39)</f>
        <v>133134</v>
      </c>
      <c r="I41" s="39">
        <f t="shared" si="3"/>
        <v>203597</v>
      </c>
      <c r="J41" s="52" t="s">
        <v>37</v>
      </c>
      <c r="K41" s="39">
        <f t="shared" si="3"/>
        <v>367374</v>
      </c>
      <c r="L41" s="39">
        <f t="shared" si="3"/>
        <v>1526435</v>
      </c>
    </row>
    <row r="42" spans="1:12" ht="5.25" customHeight="1">
      <c r="A42" s="6"/>
      <c r="B42" s="6"/>
      <c r="C42" s="6"/>
      <c r="D42" s="6"/>
      <c r="E42" s="6"/>
      <c r="F42" s="44"/>
      <c r="G42" s="44"/>
      <c r="H42" s="44"/>
      <c r="I42" s="44"/>
      <c r="J42" s="44"/>
      <c r="K42" s="132"/>
      <c r="L42" s="44"/>
    </row>
    <row r="43" spans="6:12" ht="15">
      <c r="F43" s="39"/>
      <c r="G43" s="39"/>
      <c r="H43" s="39"/>
      <c r="I43" s="39"/>
      <c r="J43" s="39"/>
      <c r="K43" s="73"/>
      <c r="L43" s="39"/>
    </row>
    <row r="44" spans="1:12" ht="15">
      <c r="A44" s="197"/>
      <c r="B44" s="196"/>
      <c r="F44" s="39"/>
      <c r="G44" s="39"/>
      <c r="H44" s="39"/>
      <c r="I44" s="39"/>
      <c r="J44" s="39"/>
      <c r="K44" s="73"/>
      <c r="L44" s="39"/>
    </row>
    <row r="45" spans="1:12" ht="15">
      <c r="A45" s="2" t="s">
        <v>59</v>
      </c>
      <c r="F45" s="39"/>
      <c r="G45" s="39"/>
      <c r="H45" s="39"/>
      <c r="I45" s="39"/>
      <c r="J45" s="39"/>
      <c r="K45" s="73"/>
      <c r="L45" s="39"/>
    </row>
    <row r="46" spans="1:12" ht="15">
      <c r="A46" s="69"/>
      <c r="F46" s="39"/>
      <c r="G46" s="39"/>
      <c r="H46" s="39"/>
      <c r="I46" s="39"/>
      <c r="J46" s="39"/>
      <c r="K46" s="73"/>
      <c r="L46" s="39"/>
    </row>
    <row r="47" spans="6:12" ht="15">
      <c r="F47" s="39"/>
      <c r="G47" s="39"/>
      <c r="H47" s="39"/>
      <c r="I47" s="39"/>
      <c r="J47" s="39"/>
      <c r="K47" s="73"/>
      <c r="L47" s="39"/>
    </row>
    <row r="48" spans="6:12" ht="15">
      <c r="F48" s="39"/>
      <c r="G48" s="39"/>
      <c r="H48" s="39"/>
      <c r="I48" s="39"/>
      <c r="J48" s="39"/>
      <c r="K48" s="73"/>
      <c r="L48" s="39"/>
    </row>
    <row r="49" spans="6:12" ht="15">
      <c r="F49" s="39"/>
      <c r="G49" s="39"/>
      <c r="H49" s="39"/>
      <c r="I49" s="39"/>
      <c r="J49" s="39"/>
      <c r="K49" s="73"/>
      <c r="L49" s="39"/>
    </row>
    <row r="50" spans="6:12" ht="15">
      <c r="F50" s="39"/>
      <c r="G50" s="39"/>
      <c r="H50" s="39"/>
      <c r="I50" s="39"/>
      <c r="J50" s="39"/>
      <c r="K50" s="73"/>
      <c r="L50" s="39"/>
    </row>
    <row r="51" spans="1:12" ht="15">
      <c r="A51" s="69"/>
      <c r="F51" s="39"/>
      <c r="G51" s="39"/>
      <c r="H51" s="39"/>
      <c r="I51" s="39"/>
      <c r="J51" s="39"/>
      <c r="K51" s="73"/>
      <c r="L51" s="39"/>
    </row>
    <row r="52" spans="6:12" ht="15">
      <c r="F52" s="39"/>
      <c r="G52" s="52"/>
      <c r="H52" s="52"/>
      <c r="I52" s="39"/>
      <c r="J52" s="39"/>
      <c r="K52" s="39"/>
      <c r="L52" s="39"/>
    </row>
    <row r="53" spans="6:12" ht="15.75" customHeight="1">
      <c r="F53" s="39"/>
      <c r="G53" s="52"/>
      <c r="H53" s="52"/>
      <c r="I53" s="39"/>
      <c r="J53" s="39"/>
      <c r="K53" s="39"/>
      <c r="L53" s="39"/>
    </row>
    <row r="54" spans="1:12" ht="15">
      <c r="A54" s="5" t="s">
        <v>325</v>
      </c>
      <c r="F54" s="39"/>
      <c r="G54" s="52"/>
      <c r="H54" s="52"/>
      <c r="I54" s="39"/>
      <c r="J54" s="39"/>
      <c r="K54" s="39"/>
      <c r="L54" s="39"/>
    </row>
    <row r="55" spans="6:12" ht="11.25" customHeight="1">
      <c r="F55" s="39"/>
      <c r="G55" s="52"/>
      <c r="H55" s="52"/>
      <c r="I55" s="39"/>
      <c r="J55" s="39"/>
      <c r="K55" s="39"/>
      <c r="L55" s="39"/>
    </row>
    <row r="56" spans="6:12" ht="15">
      <c r="F56" s="39"/>
      <c r="G56" s="52"/>
      <c r="H56" s="52"/>
      <c r="I56" s="39"/>
      <c r="J56" s="39"/>
      <c r="K56" s="39"/>
      <c r="L56" s="39"/>
    </row>
    <row r="57" spans="6:14" ht="15">
      <c r="F57" s="39"/>
      <c r="G57" s="52"/>
      <c r="H57" s="52"/>
      <c r="I57" s="39"/>
      <c r="J57" s="39"/>
      <c r="K57" s="39"/>
      <c r="L57" s="52"/>
      <c r="M57" s="27"/>
      <c r="N57" s="27" t="s">
        <v>97</v>
      </c>
    </row>
    <row r="58" spans="6:12" ht="15">
      <c r="F58" s="39"/>
      <c r="G58" s="52"/>
      <c r="H58" s="52"/>
      <c r="I58" s="39"/>
      <c r="J58" s="39"/>
      <c r="K58" s="39"/>
      <c r="L58" s="39"/>
    </row>
    <row r="59" spans="6:12" ht="15">
      <c r="F59" s="39"/>
      <c r="G59" s="52"/>
      <c r="H59" s="52"/>
      <c r="I59" s="39"/>
      <c r="J59" s="39"/>
      <c r="K59" s="39"/>
      <c r="L59" s="39"/>
    </row>
    <row r="60" spans="6:12" ht="15">
      <c r="F60" s="39"/>
      <c r="G60" s="52"/>
      <c r="H60" s="52"/>
      <c r="I60" s="39"/>
      <c r="J60" s="39"/>
      <c r="K60" s="39"/>
      <c r="L60" s="39"/>
    </row>
    <row r="61" spans="6:12" ht="15">
      <c r="F61" s="39"/>
      <c r="G61" s="52"/>
      <c r="H61" s="52"/>
      <c r="I61" s="39"/>
      <c r="J61" s="39"/>
      <c r="K61" s="39"/>
      <c r="L61" s="39"/>
    </row>
    <row r="62" spans="6:12" ht="15">
      <c r="F62" s="39"/>
      <c r="G62" s="52"/>
      <c r="H62" s="52"/>
      <c r="I62" s="39"/>
      <c r="J62" s="39"/>
      <c r="K62" s="39"/>
      <c r="L62" s="39"/>
    </row>
    <row r="63" spans="9:12" ht="15">
      <c r="I63" s="39"/>
      <c r="J63" s="39"/>
      <c r="K63" s="39"/>
      <c r="L63" s="39"/>
    </row>
    <row r="64" spans="9:12" ht="15">
      <c r="I64" s="39"/>
      <c r="J64" s="39"/>
      <c r="K64" s="39"/>
      <c r="L64" s="39"/>
    </row>
    <row r="65" spans="9:12" ht="15">
      <c r="I65" s="39"/>
      <c r="J65" s="39"/>
      <c r="K65" s="39"/>
      <c r="L65" s="39"/>
    </row>
    <row r="66" spans="9:12" ht="15">
      <c r="I66" s="39"/>
      <c r="J66" s="39"/>
      <c r="K66" s="39"/>
      <c r="L66" s="39"/>
    </row>
    <row r="67" spans="9:12" ht="15">
      <c r="I67" s="39"/>
      <c r="J67" s="39"/>
      <c r="K67" s="39"/>
      <c r="L67" s="39"/>
    </row>
    <row r="68" spans="9:12" ht="15">
      <c r="I68" s="39"/>
      <c r="J68" s="39"/>
      <c r="K68" s="39"/>
      <c r="L68" s="39"/>
    </row>
    <row r="69" spans="9:12" ht="15">
      <c r="I69" s="39"/>
      <c r="J69" s="39"/>
      <c r="K69" s="39"/>
      <c r="L69" s="39"/>
    </row>
    <row r="70" spans="9:12" ht="15">
      <c r="I70" s="39"/>
      <c r="J70" s="39"/>
      <c r="K70" s="39"/>
      <c r="L70" s="39"/>
    </row>
    <row r="71" spans="9:12" ht="15">
      <c r="I71" s="39"/>
      <c r="J71" s="39"/>
      <c r="K71" s="39"/>
      <c r="L71" s="39"/>
    </row>
    <row r="72" spans="9:12" ht="15">
      <c r="I72" s="39"/>
      <c r="J72" s="39"/>
      <c r="K72" s="39"/>
      <c r="L72" s="39"/>
    </row>
    <row r="73" spans="9:12" ht="15">
      <c r="I73" s="39"/>
      <c r="J73" s="39"/>
      <c r="K73" s="39"/>
      <c r="L73" s="39"/>
    </row>
    <row r="74" spans="9:12" ht="15">
      <c r="I74" s="39"/>
      <c r="J74" s="39"/>
      <c r="K74" s="39"/>
      <c r="L74" s="39"/>
    </row>
    <row r="75" spans="9:12" ht="15">
      <c r="I75" s="39"/>
      <c r="J75" s="39"/>
      <c r="K75" s="39"/>
      <c r="L75" s="39"/>
    </row>
    <row r="76" spans="9:12" ht="15">
      <c r="I76" s="39"/>
      <c r="J76" s="39"/>
      <c r="K76" s="39"/>
      <c r="L76" s="39"/>
    </row>
    <row r="77" spans="9:12" ht="15">
      <c r="I77" s="39"/>
      <c r="J77" s="39"/>
      <c r="K77" s="39"/>
      <c r="L77" s="39"/>
    </row>
    <row r="78" spans="9:12" ht="15">
      <c r="I78" s="39"/>
      <c r="J78" s="39"/>
      <c r="K78" s="39"/>
      <c r="L78" s="39"/>
    </row>
    <row r="79" spans="9:12" ht="15">
      <c r="I79" s="39"/>
      <c r="J79" s="39"/>
      <c r="K79" s="39"/>
      <c r="L79" s="39"/>
    </row>
    <row r="80" spans="9:12" ht="15">
      <c r="I80" s="39"/>
      <c r="J80" s="39"/>
      <c r="K80" s="39"/>
      <c r="L80" s="39"/>
    </row>
    <row r="81" spans="9:12" ht="15">
      <c r="I81" s="39"/>
      <c r="J81" s="39"/>
      <c r="K81" s="39"/>
      <c r="L81" s="39"/>
    </row>
    <row r="82" spans="9:12" ht="15">
      <c r="I82" s="39"/>
      <c r="J82" s="39"/>
      <c r="K82" s="39"/>
      <c r="L82" s="39"/>
    </row>
    <row r="83" spans="9:12" ht="15">
      <c r="I83" s="39"/>
      <c r="J83" s="39"/>
      <c r="K83" s="39"/>
      <c r="L83" s="39"/>
    </row>
    <row r="84" spans="9:12" ht="15">
      <c r="I84" s="39"/>
      <c r="J84" s="39"/>
      <c r="K84" s="39"/>
      <c r="L84" s="39"/>
    </row>
    <row r="85" spans="9:12" ht="15">
      <c r="I85" s="39"/>
      <c r="J85" s="39"/>
      <c r="K85" s="39"/>
      <c r="L85" s="39"/>
    </row>
    <row r="86" spans="9:12" ht="15">
      <c r="I86" s="39"/>
      <c r="J86" s="39"/>
      <c r="K86" s="39"/>
      <c r="L86" s="39"/>
    </row>
    <row r="87" spans="9:12" ht="15">
      <c r="I87" s="39"/>
      <c r="J87" s="39"/>
      <c r="K87" s="39"/>
      <c r="L87" s="39"/>
    </row>
  </sheetData>
  <mergeCells count="3">
    <mergeCell ref="A28:B28"/>
    <mergeCell ref="A44:B44"/>
    <mergeCell ref="I10:K10"/>
  </mergeCells>
  <printOptions/>
  <pageMargins left="0.55" right="0.23" top="0.86" bottom="0.31" header="0.5" footer="0.5"/>
  <pageSetup horizontalDpi="600" verticalDpi="600" orientation="portrait" paperSize="9" scale="95" r:id="rId1"/>
  <headerFooter alignWithMargins="0">
    <oddHeader>&amp;R&amp;"Arial,Bold"Berjaya Sports Toto Berhad&amp;U
&amp;9&amp;U(&amp;"Arial,Regular"Company No. 9109-K)
Quarter Report 30-4-2005</oddHeader>
    <oddFooter>&amp;R&amp;"Arial,Bold"    Page 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4:K59"/>
  <sheetViews>
    <sheetView showGridLines="0" workbookViewId="0" topLeftCell="A34">
      <selection activeCell="K49" sqref="K49"/>
    </sheetView>
  </sheetViews>
  <sheetFormatPr defaultColWidth="9.140625" defaultRowHeight="12.75"/>
  <cols>
    <col min="1" max="1" width="10.140625" style="2" bestFit="1" customWidth="1"/>
    <col min="2" max="2" width="9.140625" style="2" customWidth="1"/>
    <col min="3" max="3" width="8.57421875" style="2" customWidth="1"/>
    <col min="4" max="6" width="9.140625" style="2" customWidth="1"/>
    <col min="7" max="7" width="9.7109375" style="2" customWidth="1"/>
    <col min="8" max="8" width="14.7109375" style="2" customWidth="1"/>
    <col min="9" max="9" width="0.85546875" style="2" customWidth="1"/>
    <col min="10" max="10" width="14.7109375" style="68" customWidth="1"/>
    <col min="11" max="16384" width="9.140625" style="2" customWidth="1"/>
  </cols>
  <sheetData>
    <row r="2" ht="12.75" customHeight="1"/>
    <row r="3" ht="0.75" customHeight="1" hidden="1"/>
    <row r="4" ht="15">
      <c r="A4" s="5" t="str">
        <f>PL!A5</f>
        <v>UNAUDITED QUARTERLY FINANCIAL REPORT FOR THE YEAR ENDED 30 APRIL 2005</v>
      </c>
    </row>
    <row r="5" spans="1:10" s="4" customFormat="1" ht="15.75" thickBot="1">
      <c r="A5" s="143" t="s">
        <v>153</v>
      </c>
      <c r="B5" s="10"/>
      <c r="C5" s="10"/>
      <c r="D5" s="10"/>
      <c r="E5" s="10"/>
      <c r="F5" s="10"/>
      <c r="G5" s="10"/>
      <c r="H5" s="10"/>
      <c r="I5" s="10"/>
      <c r="J5" s="144"/>
    </row>
    <row r="6" spans="1:10" ht="15">
      <c r="A6" s="4"/>
      <c r="B6" s="4"/>
      <c r="C6" s="4"/>
      <c r="D6" s="4"/>
      <c r="E6" s="4"/>
      <c r="F6" s="4"/>
      <c r="G6" s="4"/>
      <c r="H6" s="12" t="s">
        <v>366</v>
      </c>
      <c r="I6" s="12"/>
      <c r="J6" s="12" t="str">
        <f>+H6</f>
        <v>12-month ended</v>
      </c>
    </row>
    <row r="7" spans="1:10" ht="15">
      <c r="A7" s="4"/>
      <c r="B7" s="4"/>
      <c r="C7" s="4"/>
      <c r="D7" s="4"/>
      <c r="E7" s="4"/>
      <c r="F7" s="4"/>
      <c r="G7" s="4"/>
      <c r="H7" s="168" t="str">
        <f>+PL!H10</f>
        <v>30-4-2005</v>
      </c>
      <c r="I7" s="12"/>
      <c r="J7" s="12" t="str">
        <f>+PL!I10</f>
        <v>30-4-2004</v>
      </c>
    </row>
    <row r="8" spans="1:10" ht="17.25" customHeight="1" thickBot="1">
      <c r="A8" s="10"/>
      <c r="B8" s="10"/>
      <c r="C8" s="10"/>
      <c r="D8" s="10"/>
      <c r="E8" s="10"/>
      <c r="F8" s="10"/>
      <c r="G8" s="10"/>
      <c r="H8" s="1" t="s">
        <v>73</v>
      </c>
      <c r="I8" s="1"/>
      <c r="J8" s="1" t="s">
        <v>73</v>
      </c>
    </row>
    <row r="9" spans="8:10" ht="1.5" customHeight="1">
      <c r="H9" s="87"/>
      <c r="I9" s="87"/>
      <c r="J9" s="87"/>
    </row>
    <row r="10" spans="1:10" ht="15">
      <c r="A10" s="5" t="s">
        <v>231</v>
      </c>
      <c r="H10" s="87"/>
      <c r="I10" s="87"/>
      <c r="J10" s="87"/>
    </row>
    <row r="11" spans="1:10" ht="15">
      <c r="A11" s="2" t="s">
        <v>237</v>
      </c>
      <c r="H11" s="87">
        <v>2894508</v>
      </c>
      <c r="I11" s="87"/>
      <c r="J11" s="87">
        <v>2736405</v>
      </c>
    </row>
    <row r="12" spans="1:10" ht="15">
      <c r="A12" s="2" t="s">
        <v>252</v>
      </c>
      <c r="H12" s="87"/>
      <c r="I12" s="87"/>
      <c r="J12" s="87"/>
    </row>
    <row r="13" spans="2:10" ht="15">
      <c r="B13" s="2" t="s">
        <v>251</v>
      </c>
      <c r="H13" s="87">
        <f>-2021568-440618-143840</f>
        <v>-2606026</v>
      </c>
      <c r="I13" s="87"/>
      <c r="J13" s="87">
        <f>-1873970-440627-128635</f>
        <v>-2443232</v>
      </c>
    </row>
    <row r="14" spans="1:10" ht="15">
      <c r="A14" s="2" t="s">
        <v>350</v>
      </c>
      <c r="H14" s="87">
        <v>293</v>
      </c>
      <c r="I14" s="87"/>
      <c r="J14" s="87">
        <v>187</v>
      </c>
    </row>
    <row r="15" spans="1:10" ht="15">
      <c r="A15" s="5" t="s">
        <v>164</v>
      </c>
      <c r="B15" s="5"/>
      <c r="C15" s="5"/>
      <c r="D15" s="5"/>
      <c r="E15" s="5"/>
      <c r="F15" s="5"/>
      <c r="G15" s="5"/>
      <c r="H15" s="140">
        <f>SUM(H11:H14)</f>
        <v>288775</v>
      </c>
      <c r="I15" s="141"/>
      <c r="J15" s="140">
        <f>SUM(J11:J14)</f>
        <v>293360</v>
      </c>
    </row>
    <row r="16" spans="1:10" ht="3" customHeight="1">
      <c r="A16" s="5"/>
      <c r="B16" s="5"/>
      <c r="C16" s="5"/>
      <c r="D16" s="5"/>
      <c r="E16" s="5"/>
      <c r="F16" s="5"/>
      <c r="G16" s="5"/>
      <c r="H16" s="87"/>
      <c r="I16" s="87"/>
      <c r="J16" s="87"/>
    </row>
    <row r="17" spans="1:10" ht="15">
      <c r="A17" s="5" t="s">
        <v>232</v>
      </c>
      <c r="B17" s="5"/>
      <c r="C17" s="5"/>
      <c r="D17" s="5"/>
      <c r="E17" s="5"/>
      <c r="F17" s="5"/>
      <c r="G17" s="5"/>
      <c r="H17" s="87"/>
      <c r="I17" s="87"/>
      <c r="J17" s="87"/>
    </row>
    <row r="18" spans="1:10" ht="15">
      <c r="A18" s="2" t="s">
        <v>238</v>
      </c>
      <c r="B18" s="5"/>
      <c r="C18" s="5"/>
      <c r="D18" s="5"/>
      <c r="E18" s="5"/>
      <c r="F18" s="5"/>
      <c r="G18" s="5"/>
      <c r="H18" s="87">
        <v>285</v>
      </c>
      <c r="I18" s="87"/>
      <c r="J18" s="87">
        <v>2121</v>
      </c>
    </row>
    <row r="19" spans="1:10" ht="15">
      <c r="A19" s="2" t="s">
        <v>338</v>
      </c>
      <c r="B19" s="5"/>
      <c r="C19" s="5"/>
      <c r="D19" s="5"/>
      <c r="E19" s="5"/>
      <c r="F19" s="5"/>
      <c r="G19" s="5"/>
      <c r="J19" s="2"/>
    </row>
    <row r="20" spans="2:10" ht="15">
      <c r="B20" s="2" t="s">
        <v>337</v>
      </c>
      <c r="C20" s="5"/>
      <c r="D20" s="5"/>
      <c r="E20" s="5"/>
      <c r="F20" s="5"/>
      <c r="G20" s="5"/>
      <c r="H20" s="87">
        <v>-3470</v>
      </c>
      <c r="I20" s="87"/>
      <c r="J20" s="87">
        <f>-50314</f>
        <v>-50314</v>
      </c>
    </row>
    <row r="21" spans="1:10" ht="15">
      <c r="A21" s="2" t="s">
        <v>409</v>
      </c>
      <c r="B21" s="5"/>
      <c r="C21" s="5"/>
      <c r="D21" s="5"/>
      <c r="E21" s="5"/>
      <c r="F21" s="5"/>
      <c r="G21" s="5"/>
      <c r="H21" s="87">
        <v>-152</v>
      </c>
      <c r="I21" s="87"/>
      <c r="J21" s="87">
        <f>-5500</f>
        <v>-5500</v>
      </c>
    </row>
    <row r="22" spans="1:10" ht="15">
      <c r="A22" s="2" t="s">
        <v>233</v>
      </c>
      <c r="B22" s="5"/>
      <c r="C22" s="5"/>
      <c r="D22" s="5"/>
      <c r="E22" s="5"/>
      <c r="F22" s="5"/>
      <c r="G22" s="5"/>
      <c r="H22" s="87">
        <v>-13277</v>
      </c>
      <c r="I22" s="87"/>
      <c r="J22" s="87">
        <v>-35091</v>
      </c>
    </row>
    <row r="23" spans="1:10" ht="15">
      <c r="A23" s="2" t="s">
        <v>356</v>
      </c>
      <c r="B23" s="5"/>
      <c r="C23" s="5"/>
      <c r="D23" s="5"/>
      <c r="E23" s="5"/>
      <c r="F23" s="5"/>
      <c r="G23" s="5"/>
      <c r="H23" s="87">
        <v>0</v>
      </c>
      <c r="I23" s="87"/>
      <c r="J23" s="87">
        <f>-3367</f>
        <v>-3367</v>
      </c>
    </row>
    <row r="24" spans="1:10" ht="15">
      <c r="A24" s="2" t="s">
        <v>460</v>
      </c>
      <c r="B24" s="5"/>
      <c r="C24" s="5"/>
      <c r="D24" s="5"/>
      <c r="E24" s="5"/>
      <c r="F24" s="5"/>
      <c r="G24" s="5"/>
      <c r="H24" s="87">
        <f>272524+648-790</f>
        <v>272382</v>
      </c>
      <c r="I24" s="87"/>
      <c r="J24" s="87">
        <f>200437+353-1149</f>
        <v>199641</v>
      </c>
    </row>
    <row r="25" spans="1:10" ht="15">
      <c r="A25" s="2" t="s">
        <v>240</v>
      </c>
      <c r="B25" s="5"/>
      <c r="C25" s="5"/>
      <c r="D25" s="5"/>
      <c r="E25" s="5"/>
      <c r="F25" s="5"/>
      <c r="G25" s="5"/>
      <c r="H25" s="87">
        <f>5928+1399</f>
        <v>7327</v>
      </c>
      <c r="I25" s="87"/>
      <c r="J25" s="87">
        <f>672+4434</f>
        <v>5106</v>
      </c>
    </row>
    <row r="26" spans="1:10" ht="15">
      <c r="A26" s="5" t="s">
        <v>357</v>
      </c>
      <c r="B26" s="5"/>
      <c r="C26" s="5"/>
      <c r="D26" s="5"/>
      <c r="E26" s="5"/>
      <c r="F26" s="5"/>
      <c r="G26" s="5"/>
      <c r="H26" s="140">
        <f>SUM(H18:H25)</f>
        <v>263095</v>
      </c>
      <c r="I26" s="141"/>
      <c r="J26" s="140">
        <f>SUM(J18:J25)</f>
        <v>112596</v>
      </c>
    </row>
    <row r="27" spans="1:10" ht="3.75" customHeight="1">
      <c r="A27" s="5"/>
      <c r="B27" s="5"/>
      <c r="C27" s="5"/>
      <c r="D27" s="5"/>
      <c r="E27" s="5"/>
      <c r="F27" s="5"/>
      <c r="G27" s="5"/>
      <c r="H27" s="141"/>
      <c r="I27" s="141"/>
      <c r="J27" s="141"/>
    </row>
    <row r="28" spans="1:10" ht="15">
      <c r="A28" s="5" t="s">
        <v>234</v>
      </c>
      <c r="B28" s="5"/>
      <c r="C28" s="5"/>
      <c r="D28" s="5"/>
      <c r="E28" s="5"/>
      <c r="F28" s="5"/>
      <c r="G28" s="5"/>
      <c r="H28" s="141"/>
      <c r="I28" s="141"/>
      <c r="J28" s="141"/>
    </row>
    <row r="29" spans="1:10" ht="15">
      <c r="A29" s="2" t="s">
        <v>235</v>
      </c>
      <c r="B29" s="5"/>
      <c r="C29" s="5"/>
      <c r="D29" s="5"/>
      <c r="E29" s="5"/>
      <c r="F29" s="5"/>
      <c r="G29" s="5"/>
      <c r="H29" s="141">
        <v>36063</v>
      </c>
      <c r="I29" s="141"/>
      <c r="J29" s="141">
        <v>84032</v>
      </c>
    </row>
    <row r="30" spans="1:10" ht="15">
      <c r="A30" s="2" t="s">
        <v>316</v>
      </c>
      <c r="B30" s="5"/>
      <c r="C30" s="5"/>
      <c r="D30" s="5"/>
      <c r="E30" s="5"/>
      <c r="F30" s="5"/>
      <c r="G30" s="5"/>
      <c r="H30" s="141">
        <v>-1520</v>
      </c>
      <c r="I30" s="141"/>
      <c r="J30" s="141">
        <v>-6764</v>
      </c>
    </row>
    <row r="31" spans="1:10" ht="15">
      <c r="A31" s="2" t="s">
        <v>289</v>
      </c>
      <c r="B31" s="5"/>
      <c r="C31" s="5"/>
      <c r="D31" s="5"/>
      <c r="E31" s="5"/>
      <c r="F31" s="5"/>
      <c r="G31" s="5"/>
      <c r="H31" s="141">
        <v>-158310</v>
      </c>
      <c r="I31" s="141"/>
      <c r="J31" s="141">
        <v>-9169</v>
      </c>
    </row>
    <row r="32" spans="1:10" ht="15">
      <c r="A32" s="2" t="s">
        <v>239</v>
      </c>
      <c r="B32" s="5"/>
      <c r="C32" s="5"/>
      <c r="D32" s="5"/>
      <c r="E32" s="5"/>
      <c r="F32" s="5"/>
      <c r="G32" s="5"/>
      <c r="H32" s="141">
        <v>-399957</v>
      </c>
      <c r="I32" s="141"/>
      <c r="J32" s="141">
        <v>-235072</v>
      </c>
    </row>
    <row r="33" spans="1:10" ht="15">
      <c r="A33" s="2" t="s">
        <v>253</v>
      </c>
      <c r="B33" s="5"/>
      <c r="C33" s="5"/>
      <c r="D33" s="5"/>
      <c r="E33" s="5"/>
      <c r="F33" s="5"/>
      <c r="G33" s="5"/>
      <c r="H33" s="141">
        <v>-27946</v>
      </c>
      <c r="I33" s="141"/>
      <c r="J33" s="141">
        <v>-35926</v>
      </c>
    </row>
    <row r="34" spans="1:10" ht="15">
      <c r="A34" s="2" t="s">
        <v>236</v>
      </c>
      <c r="B34" s="5"/>
      <c r="C34" s="5"/>
      <c r="D34" s="5"/>
      <c r="E34" s="5"/>
      <c r="F34" s="5"/>
      <c r="G34" s="5"/>
      <c r="H34" s="141">
        <f>-220-100</f>
        <v>-320</v>
      </c>
      <c r="I34" s="141"/>
      <c r="J34" s="141">
        <v>-262</v>
      </c>
    </row>
    <row r="35" spans="1:10" ht="15">
      <c r="A35" s="8" t="s">
        <v>165</v>
      </c>
      <c r="B35" s="5"/>
      <c r="C35" s="5"/>
      <c r="D35" s="5"/>
      <c r="E35" s="5"/>
      <c r="F35" s="5"/>
      <c r="G35" s="5"/>
      <c r="H35" s="140">
        <f>SUM(H29:H34)</f>
        <v>-551990</v>
      </c>
      <c r="I35" s="141"/>
      <c r="J35" s="140">
        <f>SUM(J29:J34)</f>
        <v>-203161</v>
      </c>
    </row>
    <row r="36" spans="1:10" ht="3" customHeight="1">
      <c r="A36" s="70"/>
      <c r="B36" s="70"/>
      <c r="C36" s="70"/>
      <c r="D36" s="70"/>
      <c r="E36" s="70"/>
      <c r="F36" s="70"/>
      <c r="G36" s="70"/>
      <c r="H36" s="88"/>
      <c r="I36" s="88"/>
      <c r="J36" s="88"/>
    </row>
    <row r="37" spans="1:10" ht="15">
      <c r="A37" s="2" t="s">
        <v>459</v>
      </c>
      <c r="H37" s="87">
        <f>+H35+H26+H15</f>
        <v>-120</v>
      </c>
      <c r="I37" s="87"/>
      <c r="J37" s="87">
        <f>+J35+J26+J15</f>
        <v>202795</v>
      </c>
    </row>
    <row r="38" spans="4:11" ht="3" customHeight="1">
      <c r="D38" s="103"/>
      <c r="H38" s="87"/>
      <c r="I38" s="87"/>
      <c r="J38" s="87"/>
      <c r="K38" s="102"/>
    </row>
    <row r="39" spans="1:10" ht="15">
      <c r="A39" s="103" t="s">
        <v>315</v>
      </c>
      <c r="H39" s="87">
        <v>343372</v>
      </c>
      <c r="I39" s="87"/>
      <c r="J39" s="87">
        <v>141146</v>
      </c>
    </row>
    <row r="40" spans="1:10" ht="15">
      <c r="A40" s="142" t="s">
        <v>179</v>
      </c>
      <c r="B40" s="6"/>
      <c r="C40" s="6"/>
      <c r="D40" s="6"/>
      <c r="E40" s="6"/>
      <c r="F40" s="6"/>
      <c r="G40" s="6"/>
      <c r="H40" s="88">
        <v>312</v>
      </c>
      <c r="I40" s="88"/>
      <c r="J40" s="88">
        <v>-569</v>
      </c>
    </row>
    <row r="41" spans="1:10" ht="15.75" thickBot="1">
      <c r="A41" s="107" t="s">
        <v>405</v>
      </c>
      <c r="B41" s="10"/>
      <c r="C41" s="10"/>
      <c r="D41" s="10"/>
      <c r="E41" s="10"/>
      <c r="F41" s="10"/>
      <c r="G41" s="10"/>
      <c r="H41" s="89">
        <f>SUM(H37:H40)</f>
        <v>343564</v>
      </c>
      <c r="I41" s="89"/>
      <c r="J41" s="89">
        <f>SUM(J37:J40)</f>
        <v>343372</v>
      </c>
    </row>
    <row r="42" spans="8:10" ht="4.5" customHeight="1">
      <c r="H42" s="87"/>
      <c r="I42" s="87"/>
      <c r="J42" s="87"/>
    </row>
    <row r="43" spans="8:10" ht="15">
      <c r="H43" s="12" t="str">
        <f>+H6</f>
        <v>12-month ended</v>
      </c>
      <c r="I43" s="12"/>
      <c r="J43" s="12" t="str">
        <f>+J6</f>
        <v>12-month ended</v>
      </c>
    </row>
    <row r="44" spans="8:10" ht="15">
      <c r="H44" s="12" t="str">
        <f>+H7</f>
        <v>30-4-2005</v>
      </c>
      <c r="I44" s="12"/>
      <c r="J44" s="12" t="str">
        <f>+J7</f>
        <v>30-4-2004</v>
      </c>
    </row>
    <row r="45" spans="8:10" ht="15.75" thickBot="1">
      <c r="H45" s="1" t="s">
        <v>73</v>
      </c>
      <c r="I45" s="1"/>
      <c r="J45" s="1" t="s">
        <v>73</v>
      </c>
    </row>
    <row r="46" spans="1:9" ht="15">
      <c r="A46" s="2" t="s">
        <v>180</v>
      </c>
      <c r="H46" s="68"/>
      <c r="I46" s="68"/>
    </row>
    <row r="47" spans="1:8" ht="15">
      <c r="A47" s="2" t="s">
        <v>267</v>
      </c>
      <c r="H47" s="68"/>
    </row>
    <row r="48" spans="2:10" ht="15">
      <c r="B48" s="2" t="s">
        <v>161</v>
      </c>
      <c r="H48" s="73">
        <v>24178</v>
      </c>
      <c r="I48" s="73"/>
      <c r="J48" s="73">
        <v>77971</v>
      </c>
    </row>
    <row r="49" spans="2:11" ht="15">
      <c r="B49" s="2" t="s">
        <v>172</v>
      </c>
      <c r="H49" s="73">
        <v>319386</v>
      </c>
      <c r="I49" s="73"/>
      <c r="J49" s="73">
        <v>265401</v>
      </c>
      <c r="K49" s="73"/>
    </row>
    <row r="50" spans="8:10" ht="15.75" thickBot="1">
      <c r="H50" s="111">
        <f>+H48+H49</f>
        <v>343564</v>
      </c>
      <c r="I50" s="111"/>
      <c r="J50" s="111">
        <f>+J48+J49</f>
        <v>343372</v>
      </c>
    </row>
    <row r="51" spans="8:10" ht="3" customHeight="1" thickTop="1">
      <c r="H51" s="73"/>
      <c r="J51" s="73"/>
    </row>
    <row r="52" spans="8:10" ht="15">
      <c r="H52" s="73"/>
      <c r="J52" s="73"/>
    </row>
    <row r="53" ht="15">
      <c r="J53" s="73"/>
    </row>
    <row r="54" ht="15">
      <c r="J54" s="73"/>
    </row>
    <row r="55" ht="3" customHeight="1">
      <c r="J55" s="73"/>
    </row>
    <row r="56" ht="1.5" customHeight="1" hidden="1">
      <c r="J56" s="73"/>
    </row>
    <row r="57" ht="0.75" customHeight="1" hidden="1">
      <c r="J57" s="73"/>
    </row>
    <row r="58" ht="1.5" customHeight="1" hidden="1">
      <c r="J58" s="73"/>
    </row>
    <row r="59" spans="1:10" ht="15">
      <c r="A59" s="5" t="s">
        <v>325</v>
      </c>
      <c r="J59" s="27"/>
    </row>
  </sheetData>
  <printOptions/>
  <pageMargins left="0.75" right="0.49" top="0.86" bottom="0.81" header="0.5" footer="0.5"/>
  <pageSetup horizontalDpi="600" verticalDpi="600" orientation="portrait" paperSize="9" scale="95" r:id="rId1"/>
  <headerFooter alignWithMargins="0">
    <oddHeader>&amp;R&amp;"Arial,Bold"Berjaya Sports Toto Berhad&amp;U
&amp;9&amp;U(&amp;"Arial,Regular"Company No. 9109-K)
Quarterly Report 30-4-2005</oddHeader>
    <oddFooter>&amp;R&amp;"Arial,Bold"    Page 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IV224"/>
  <sheetViews>
    <sheetView showGridLines="0" workbookViewId="0" topLeftCell="A182">
      <selection activeCell="B199" sqref="B199"/>
    </sheetView>
  </sheetViews>
  <sheetFormatPr defaultColWidth="9.140625" defaultRowHeight="12.75"/>
  <cols>
    <col min="1" max="1" width="4.57421875" style="55" customWidth="1"/>
    <col min="2" max="2" width="4.28125" style="55" customWidth="1"/>
    <col min="3" max="3" width="10.28125" style="39" customWidth="1"/>
    <col min="4" max="4" width="8.7109375" style="39" customWidth="1"/>
    <col min="5" max="5" width="9.28125" style="39" customWidth="1"/>
    <col min="6" max="6" width="8.421875" style="39" customWidth="1"/>
    <col min="7" max="7" width="7.7109375" style="39" customWidth="1"/>
    <col min="8" max="8" width="11.28125" style="39" customWidth="1"/>
    <col min="9" max="9" width="10.00390625" style="39" customWidth="1"/>
    <col min="10" max="10" width="9.28125" style="39" customWidth="1"/>
    <col min="11" max="11" width="10.00390625" style="39" customWidth="1"/>
    <col min="12" max="12" width="0.2890625" style="39" hidden="1" customWidth="1"/>
    <col min="13" max="13" width="6.8515625" style="39" hidden="1" customWidth="1"/>
    <col min="14" max="14" width="6.140625" style="39" hidden="1" customWidth="1"/>
    <col min="15" max="15" width="6.28125" style="39" hidden="1" customWidth="1"/>
    <col min="16" max="16" width="0.42578125" style="39" customWidth="1"/>
    <col min="17" max="17" width="6.140625" style="39" customWidth="1"/>
    <col min="18" max="18" width="5.57421875" style="39" customWidth="1"/>
    <col min="19" max="16384" width="9.140625" style="39" customWidth="1"/>
  </cols>
  <sheetData>
    <row r="2" spans="1:256" ht="10.5" customHeight="1">
      <c r="A2" s="39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  <c r="IT2" s="5"/>
      <c r="IU2" s="5"/>
      <c r="IV2" s="5"/>
    </row>
    <row r="3" spans="1:256" ht="15" customHeight="1">
      <c r="A3" s="5" t="str">
        <f>PL!A5</f>
        <v>UNAUDITED QUARTERLY FINANCIAL REPORT FOR THE YEAR ENDED 30 APRIL 2005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  <c r="IR3" s="5"/>
      <c r="IS3" s="5"/>
      <c r="IT3" s="5"/>
      <c r="IU3" s="5"/>
      <c r="IV3" s="5"/>
    </row>
    <row r="4" spans="1:4" ht="14.25" customHeight="1">
      <c r="A4" s="53" t="s">
        <v>326</v>
      </c>
      <c r="C4" s="55"/>
      <c r="D4" s="55"/>
    </row>
    <row r="5" spans="1:4" ht="11.25" customHeight="1">
      <c r="A5" s="53"/>
      <c r="C5" s="55"/>
      <c r="D5" s="55"/>
    </row>
    <row r="6" spans="1:4" ht="15">
      <c r="A6" s="55" t="s">
        <v>103</v>
      </c>
      <c r="B6" s="55" t="s">
        <v>290</v>
      </c>
      <c r="C6" s="55"/>
      <c r="D6" s="55"/>
    </row>
    <row r="7" ht="15">
      <c r="B7" s="55" t="s">
        <v>302</v>
      </c>
    </row>
    <row r="8" spans="3:4" ht="9" customHeight="1">
      <c r="C8" s="55"/>
      <c r="D8" s="55"/>
    </row>
    <row r="9" spans="2:4" ht="15">
      <c r="B9" s="55" t="s">
        <v>291</v>
      </c>
      <c r="C9" s="55"/>
      <c r="D9" s="55"/>
    </row>
    <row r="10" ht="15">
      <c r="B10" s="55" t="s">
        <v>317</v>
      </c>
    </row>
    <row r="11" spans="3:4" ht="9" customHeight="1">
      <c r="C11" s="55"/>
      <c r="D11" s="55"/>
    </row>
    <row r="12" spans="2:4" ht="15">
      <c r="B12" s="156" t="s">
        <v>101</v>
      </c>
      <c r="C12" s="55"/>
      <c r="D12" s="55"/>
    </row>
    <row r="13" spans="2:3" ht="15">
      <c r="B13" s="55" t="s">
        <v>318</v>
      </c>
      <c r="C13" s="55"/>
    </row>
    <row r="14" spans="2:4" ht="15">
      <c r="B14" s="55" t="s">
        <v>319</v>
      </c>
      <c r="C14" s="55"/>
      <c r="D14" s="55"/>
    </row>
    <row r="15" ht="15" customHeight="1">
      <c r="D15" s="55"/>
    </row>
    <row r="16" spans="1:4" ht="15">
      <c r="A16" s="55" t="s">
        <v>104</v>
      </c>
      <c r="B16" s="55" t="s">
        <v>259</v>
      </c>
      <c r="C16" s="55"/>
      <c r="D16" s="55"/>
    </row>
    <row r="17" spans="2:4" ht="15">
      <c r="B17" s="55" t="s">
        <v>100</v>
      </c>
      <c r="C17" s="55"/>
      <c r="D17" s="55"/>
    </row>
    <row r="18" ht="13.5" customHeight="1"/>
    <row r="19" spans="1:4" ht="15">
      <c r="A19" s="55" t="s">
        <v>105</v>
      </c>
      <c r="B19" s="55" t="s">
        <v>163</v>
      </c>
      <c r="C19" s="55"/>
      <c r="D19" s="55"/>
    </row>
    <row r="20" ht="15">
      <c r="B20" s="55" t="s">
        <v>220</v>
      </c>
    </row>
    <row r="21" ht="12.75" customHeight="1"/>
    <row r="22" spans="1:4" ht="15">
      <c r="A22" s="55" t="s">
        <v>106</v>
      </c>
      <c r="B22" s="55" t="s">
        <v>292</v>
      </c>
      <c r="C22" s="55"/>
      <c r="D22" s="55"/>
    </row>
    <row r="23" spans="2:3" ht="15">
      <c r="B23" s="55" t="s">
        <v>38</v>
      </c>
      <c r="C23" s="56"/>
    </row>
    <row r="24" spans="2:3" ht="15">
      <c r="B24" s="55" t="s">
        <v>39</v>
      </c>
      <c r="C24" s="56"/>
    </row>
    <row r="25" spans="2:3" ht="15">
      <c r="B25" s="55" t="s">
        <v>40</v>
      </c>
      <c r="C25" s="56"/>
    </row>
    <row r="26" ht="12" customHeight="1">
      <c r="C26" s="56"/>
    </row>
    <row r="27" spans="2:3" ht="15">
      <c r="B27" s="55" t="s">
        <v>320</v>
      </c>
      <c r="C27" s="56"/>
    </row>
    <row r="28" spans="2:3" ht="15">
      <c r="B28" s="55" t="s">
        <v>410</v>
      </c>
      <c r="C28" s="56"/>
    </row>
    <row r="29" ht="12" customHeight="1">
      <c r="C29" s="56"/>
    </row>
    <row r="30" spans="1:3" ht="15">
      <c r="A30" s="55" t="s">
        <v>107</v>
      </c>
      <c r="B30" s="55" t="s">
        <v>374</v>
      </c>
      <c r="C30" s="56"/>
    </row>
    <row r="31" spans="2:4" ht="15">
      <c r="B31" s="55" t="s">
        <v>339</v>
      </c>
      <c r="C31" s="57"/>
      <c r="D31" s="57"/>
    </row>
    <row r="32" spans="2:4" ht="15">
      <c r="B32" s="55" t="s">
        <v>367</v>
      </c>
      <c r="C32" s="57"/>
      <c r="D32" s="57"/>
    </row>
    <row r="33" spans="3:4" ht="12" customHeight="1">
      <c r="C33" s="57"/>
      <c r="D33" s="57"/>
    </row>
    <row r="34" spans="2:4" ht="15">
      <c r="B34" s="55" t="s">
        <v>368</v>
      </c>
      <c r="C34" s="57"/>
      <c r="D34" s="57"/>
    </row>
    <row r="35" ht="15">
      <c r="B35" s="55" t="s">
        <v>369</v>
      </c>
    </row>
    <row r="36" ht="15">
      <c r="B36" s="55" t="s">
        <v>370</v>
      </c>
    </row>
    <row r="37" ht="15">
      <c r="B37" s="55" t="s">
        <v>371</v>
      </c>
    </row>
    <row r="38" ht="15">
      <c r="B38" s="55" t="s">
        <v>372</v>
      </c>
    </row>
    <row r="39" ht="12" customHeight="1"/>
    <row r="40" ht="14.25" customHeight="1">
      <c r="B40" s="55" t="s">
        <v>412</v>
      </c>
    </row>
    <row r="41" ht="15" customHeight="1">
      <c r="B41" s="55" t="s">
        <v>411</v>
      </c>
    </row>
    <row r="42" ht="15" customHeight="1">
      <c r="B42" s="55" t="s">
        <v>413</v>
      </c>
    </row>
    <row r="43" ht="15" customHeight="1">
      <c r="B43" s="55" t="s">
        <v>414</v>
      </c>
    </row>
    <row r="44" ht="10.5" customHeight="1"/>
    <row r="45" ht="15">
      <c r="B45" s="55" t="s">
        <v>181</v>
      </c>
    </row>
    <row r="46" ht="11.25" customHeight="1"/>
    <row r="47" spans="2:10" ht="15">
      <c r="B47" s="113"/>
      <c r="C47" s="114"/>
      <c r="D47" s="204" t="s">
        <v>183</v>
      </c>
      <c r="E47" s="205"/>
      <c r="F47" s="205"/>
      <c r="G47" s="124"/>
      <c r="H47" s="125"/>
      <c r="I47" s="199" t="s">
        <v>188</v>
      </c>
      <c r="J47" s="200"/>
    </row>
    <row r="48" spans="2:10" ht="15">
      <c r="B48" s="119" t="s">
        <v>182</v>
      </c>
      <c r="C48" s="44"/>
      <c r="D48" s="120" t="s">
        <v>184</v>
      </c>
      <c r="E48" s="122" t="s">
        <v>185</v>
      </c>
      <c r="F48" s="44" t="s">
        <v>186</v>
      </c>
      <c r="G48" s="203" t="s">
        <v>187</v>
      </c>
      <c r="H48" s="202"/>
      <c r="I48" s="201" t="s">
        <v>73</v>
      </c>
      <c r="J48" s="202"/>
    </row>
    <row r="49" spans="2:10" ht="15">
      <c r="B49" s="116" t="s">
        <v>321</v>
      </c>
      <c r="C49" s="65"/>
      <c r="D49" s="174">
        <v>3.7</v>
      </c>
      <c r="E49" s="175">
        <v>3.83</v>
      </c>
      <c r="F49" s="176">
        <f aca="true" t="shared" si="0" ref="F49:F55">+J49/(H49/1000)</f>
        <v>3.7660357297743454</v>
      </c>
      <c r="G49" s="148"/>
      <c r="H49" s="149">
        <f>2800000+1100000+1388900+909900+350000+309300+290000</f>
        <v>7148100</v>
      </c>
      <c r="I49" s="150"/>
      <c r="J49" s="149">
        <f>10457+4083+5255+3486+1345+1185+1109</f>
        <v>26920</v>
      </c>
    </row>
    <row r="50" spans="2:10" ht="15">
      <c r="B50" s="116" t="s">
        <v>322</v>
      </c>
      <c r="C50" s="65"/>
      <c r="D50" s="174">
        <v>3.81</v>
      </c>
      <c r="E50" s="175">
        <v>3.9</v>
      </c>
      <c r="F50" s="176">
        <f t="shared" si="0"/>
        <v>3.888242489334407</v>
      </c>
      <c r="G50" s="121"/>
      <c r="H50" s="65">
        <f>414000+437900+990000+910000+600000</f>
        <v>3351900</v>
      </c>
      <c r="I50" s="121"/>
      <c r="J50" s="117">
        <f>1584+1684+3872+3560+2332+1</f>
        <v>13033</v>
      </c>
    </row>
    <row r="51" spans="2:10" ht="15">
      <c r="B51" s="116" t="s">
        <v>340</v>
      </c>
      <c r="C51" s="65"/>
      <c r="D51" s="174">
        <v>3.35</v>
      </c>
      <c r="E51" s="175">
        <v>3.64</v>
      </c>
      <c r="F51" s="176">
        <f t="shared" si="0"/>
        <v>3.4677456647398843</v>
      </c>
      <c r="G51" s="121"/>
      <c r="H51" s="65">
        <f>921700+200000+278300+380000+620000+943400+1915000+1885200+715000+305000+200000+202000+84400</f>
        <v>8650000</v>
      </c>
      <c r="I51" s="121"/>
      <c r="J51" s="117">
        <f>3339+730+1004+1338+2172+3265+6431+6508+2464+1063+693+697+292</f>
        <v>29996</v>
      </c>
    </row>
    <row r="52" spans="2:10" ht="15">
      <c r="B52" s="116" t="s">
        <v>341</v>
      </c>
      <c r="C52" s="65"/>
      <c r="D52" s="174">
        <v>3.81</v>
      </c>
      <c r="E52" s="175">
        <v>3.91</v>
      </c>
      <c r="F52" s="176">
        <f t="shared" si="0"/>
        <v>3.8836363636363638</v>
      </c>
      <c r="G52" s="121"/>
      <c r="H52" s="65">
        <f>500000+301400+498600+500000+500000+100000+350000</f>
        <v>2750000</v>
      </c>
      <c r="I52" s="121"/>
      <c r="J52" s="117">
        <f>1963+1177+1939+1932+1913+387+1369</f>
        <v>10680</v>
      </c>
    </row>
    <row r="53" spans="2:10" ht="15">
      <c r="B53" s="116" t="s">
        <v>342</v>
      </c>
      <c r="C53" s="65"/>
      <c r="D53" s="174">
        <v>3.85</v>
      </c>
      <c r="E53" s="175">
        <v>3.96</v>
      </c>
      <c r="F53" s="176">
        <f t="shared" si="0"/>
        <v>3.9092063492063494</v>
      </c>
      <c r="G53" s="121"/>
      <c r="H53" s="117">
        <f>450000+560000+414700+500300+481400+370000+373300+500300+500000+399000+899000+680000+991000+1000000+1100000+1467000+665500+388100+330000+280400+250000</f>
        <v>12600000</v>
      </c>
      <c r="I53" s="65"/>
      <c r="J53" s="117">
        <f>1758+2169+1607+1935+1870+1453+1477+1986+1985+1573+3541+2677+3883+3917+4287+5696+2571+1504+1293+1096+978</f>
        <v>49256</v>
      </c>
    </row>
    <row r="54" spans="2:10" ht="15">
      <c r="B54" s="116" t="s">
        <v>358</v>
      </c>
      <c r="C54" s="65"/>
      <c r="D54" s="174">
        <v>3.99</v>
      </c>
      <c r="E54" s="175">
        <v>4</v>
      </c>
      <c r="F54" s="176">
        <f t="shared" si="0"/>
        <v>4.010603048376408</v>
      </c>
      <c r="G54" s="121"/>
      <c r="H54" s="65">
        <f>500000+500000+509000</f>
        <v>1509000</v>
      </c>
      <c r="I54" s="121"/>
      <c r="J54" s="117">
        <f>2006+2002+2044</f>
        <v>6052</v>
      </c>
    </row>
    <row r="55" spans="2:10" ht="15">
      <c r="B55" s="116" t="s">
        <v>373</v>
      </c>
      <c r="C55" s="65"/>
      <c r="D55" s="174">
        <v>4.01</v>
      </c>
      <c r="E55" s="175">
        <v>4.11</v>
      </c>
      <c r="F55" s="176">
        <f t="shared" si="0"/>
        <v>4.074485521762885</v>
      </c>
      <c r="G55" s="120"/>
      <c r="H55" s="44">
        <f>490600+500000+500000+500000+100000+500000+500000+500000+500400+500000+492200+407800</f>
        <v>5491000</v>
      </c>
      <c r="I55" s="120"/>
      <c r="J55" s="118">
        <f>1975+2011+2026+2023+410+2063+2048+2057+2055+2045+2003+1658-1</f>
        <v>22373</v>
      </c>
    </row>
    <row r="56" spans="2:10" ht="15">
      <c r="B56" s="129" t="s">
        <v>190</v>
      </c>
      <c r="C56" s="44"/>
      <c r="D56" s="126"/>
      <c r="E56" s="127"/>
      <c r="F56" s="128"/>
      <c r="G56" s="120"/>
      <c r="H56" s="118">
        <f>SUM(H49:H55)</f>
        <v>41500000</v>
      </c>
      <c r="I56" s="44"/>
      <c r="J56" s="118">
        <f>SUM(J49:J55)</f>
        <v>158310</v>
      </c>
    </row>
    <row r="57" spans="1:2" ht="15">
      <c r="A57" s="39"/>
      <c r="B57" s="39"/>
    </row>
    <row r="58" spans="1:2" ht="15">
      <c r="A58" s="39"/>
      <c r="B58" s="39"/>
    </row>
    <row r="59" spans="1:2" ht="15">
      <c r="A59" s="39"/>
      <c r="B59" s="39"/>
    </row>
    <row r="60" spans="1:2" ht="15">
      <c r="A60" s="39"/>
      <c r="B60" s="39"/>
    </row>
    <row r="61" spans="1:2" ht="15" customHeight="1">
      <c r="A61" s="55" t="s">
        <v>107</v>
      </c>
      <c r="B61" s="55" t="s">
        <v>375</v>
      </c>
    </row>
    <row r="62" ht="9.75" customHeight="1">
      <c r="A62" s="39"/>
    </row>
    <row r="63" spans="2:10" ht="15" customHeight="1">
      <c r="B63" s="113"/>
      <c r="C63" s="114"/>
      <c r="D63" s="114"/>
      <c r="E63" s="114"/>
      <c r="F63" s="114"/>
      <c r="G63" s="124"/>
      <c r="H63" s="125"/>
      <c r="I63" s="199" t="s">
        <v>189</v>
      </c>
      <c r="J63" s="200"/>
    </row>
    <row r="64" spans="2:10" ht="15" customHeight="1">
      <c r="B64" s="119"/>
      <c r="C64" s="44"/>
      <c r="D64" s="44"/>
      <c r="E64" s="44"/>
      <c r="F64" s="44"/>
      <c r="G64" s="203" t="s">
        <v>187</v>
      </c>
      <c r="H64" s="202"/>
      <c r="I64" s="201" t="s">
        <v>73</v>
      </c>
      <c r="J64" s="202"/>
    </row>
    <row r="65" spans="2:10" ht="15" customHeight="1">
      <c r="B65" s="115" t="s">
        <v>323</v>
      </c>
      <c r="C65" s="65"/>
      <c r="D65" s="65"/>
      <c r="E65" s="65"/>
      <c r="F65" s="65"/>
      <c r="G65" s="121"/>
      <c r="H65" s="117">
        <v>37100000</v>
      </c>
      <c r="I65" s="65"/>
      <c r="J65" s="117">
        <v>215258</v>
      </c>
    </row>
    <row r="66" spans="2:10" ht="15" customHeight="1">
      <c r="B66" s="115" t="s">
        <v>415</v>
      </c>
      <c r="C66" s="65"/>
      <c r="D66" s="65"/>
      <c r="E66" s="65"/>
      <c r="F66" s="65"/>
      <c r="G66" s="120"/>
      <c r="H66" s="118">
        <f>+H56</f>
        <v>41500000</v>
      </c>
      <c r="I66" s="44"/>
      <c r="J66" s="118">
        <f>+J56</f>
        <v>158310</v>
      </c>
    </row>
    <row r="67" spans="2:10" ht="15" customHeight="1">
      <c r="B67" s="119" t="s">
        <v>376</v>
      </c>
      <c r="C67" s="44"/>
      <c r="D67" s="44"/>
      <c r="E67" s="44"/>
      <c r="F67" s="44"/>
      <c r="G67" s="120"/>
      <c r="H67" s="118">
        <f>+H65+H66</f>
        <v>78600000</v>
      </c>
      <c r="I67" s="44"/>
      <c r="J67" s="118">
        <f>+J65+J66</f>
        <v>373568</v>
      </c>
    </row>
    <row r="68" ht="10.5" customHeight="1"/>
    <row r="69" spans="1:2" ht="15" customHeight="1">
      <c r="A69" s="39"/>
      <c r="B69" s="55" t="s">
        <v>377</v>
      </c>
    </row>
    <row r="70" ht="15" customHeight="1">
      <c r="B70" s="55" t="s">
        <v>378</v>
      </c>
    </row>
    <row r="71" ht="7.5" customHeight="1"/>
    <row r="72" ht="15" customHeight="1">
      <c r="B72" s="55" t="s">
        <v>416</v>
      </c>
    </row>
    <row r="73" ht="15" customHeight="1">
      <c r="B73" s="55" t="s">
        <v>265</v>
      </c>
    </row>
    <row r="74" ht="15" customHeight="1">
      <c r="I74" s="52" t="s">
        <v>266</v>
      </c>
    </row>
    <row r="75" spans="8:9" ht="15" customHeight="1">
      <c r="H75" s="52" t="s">
        <v>261</v>
      </c>
      <c r="I75" s="52" t="s">
        <v>260</v>
      </c>
    </row>
    <row r="76" spans="8:10" ht="15" customHeight="1">
      <c r="H76" s="52" t="s">
        <v>255</v>
      </c>
      <c r="I76" s="52" t="s">
        <v>255</v>
      </c>
      <c r="J76" s="52" t="s">
        <v>92</v>
      </c>
    </row>
    <row r="77" spans="8:10" ht="15" customHeight="1">
      <c r="H77" s="52" t="s">
        <v>73</v>
      </c>
      <c r="I77" s="52" t="s">
        <v>73</v>
      </c>
      <c r="J77" s="52" t="s">
        <v>73</v>
      </c>
    </row>
    <row r="78" spans="3:10" ht="15" customHeight="1">
      <c r="C78" s="55" t="s">
        <v>323</v>
      </c>
      <c r="H78" s="39">
        <v>133134</v>
      </c>
      <c r="I78" s="39">
        <v>116865</v>
      </c>
      <c r="J78" s="39">
        <f>+H78+I78</f>
        <v>249999</v>
      </c>
    </row>
    <row r="79" spans="3:10" ht="15" customHeight="1">
      <c r="C79" s="55" t="s">
        <v>262</v>
      </c>
      <c r="H79" s="165">
        <v>-80838</v>
      </c>
      <c r="I79" s="165">
        <v>-93683</v>
      </c>
      <c r="J79" s="165">
        <f>+H79+I79</f>
        <v>-174521</v>
      </c>
    </row>
    <row r="80" spans="3:10" ht="15" customHeight="1">
      <c r="C80" s="55" t="s">
        <v>417</v>
      </c>
      <c r="H80" s="165"/>
      <c r="I80" s="165"/>
      <c r="J80" s="165"/>
    </row>
    <row r="81" spans="3:10" ht="15" customHeight="1">
      <c r="C81" s="55" t="s">
        <v>418</v>
      </c>
      <c r="H81" s="165">
        <v>0</v>
      </c>
      <c r="I81" s="165">
        <f>-7911+3121</f>
        <v>-4790</v>
      </c>
      <c r="J81" s="165">
        <f>H81+I81</f>
        <v>-4790</v>
      </c>
    </row>
    <row r="82" spans="3:10" ht="15" customHeight="1" thickBot="1">
      <c r="C82" s="55" t="s">
        <v>379</v>
      </c>
      <c r="H82" s="79">
        <f>SUM(H78:H79)</f>
        <v>52296</v>
      </c>
      <c r="I82" s="79">
        <f>SUM(I78:I81)</f>
        <v>18392</v>
      </c>
      <c r="J82" s="167">
        <f>SUM(J78:J81)</f>
        <v>70688</v>
      </c>
    </row>
    <row r="83" ht="9.75" customHeight="1" thickTop="1"/>
    <row r="84" ht="15" customHeight="1">
      <c r="B84" s="55" t="s">
        <v>380</v>
      </c>
    </row>
    <row r="85" ht="15" customHeight="1">
      <c r="J85" s="52" t="s">
        <v>73</v>
      </c>
    </row>
    <row r="86" spans="3:10" ht="15" customHeight="1">
      <c r="C86" s="55" t="s">
        <v>381</v>
      </c>
      <c r="J86" s="130">
        <f>+J82</f>
        <v>70688</v>
      </c>
    </row>
    <row r="87" spans="3:10" ht="15" customHeight="1">
      <c r="C87" s="55" t="s">
        <v>263</v>
      </c>
      <c r="J87" s="123">
        <v>7911</v>
      </c>
    </row>
    <row r="88" spans="3:10" ht="15" customHeight="1">
      <c r="C88" s="55"/>
      <c r="J88" s="39">
        <f>+J86+J87</f>
        <v>78599</v>
      </c>
    </row>
    <row r="89" spans="3:10" ht="15" customHeight="1">
      <c r="C89" s="55" t="s">
        <v>382</v>
      </c>
      <c r="J89" s="39">
        <v>26498</v>
      </c>
    </row>
    <row r="90" spans="3:10" ht="15" customHeight="1">
      <c r="C90" s="55" t="s">
        <v>327</v>
      </c>
      <c r="J90" s="39">
        <f>23888+10423</f>
        <v>34311</v>
      </c>
    </row>
    <row r="91" spans="3:10" ht="15" customHeight="1" thickBot="1">
      <c r="C91" s="55" t="s">
        <v>383</v>
      </c>
      <c r="J91" s="167">
        <f>SUM(J88:J90)</f>
        <v>139408</v>
      </c>
    </row>
    <row r="92" spans="2:10" ht="12.75" customHeight="1" thickTop="1">
      <c r="B92" s="55" t="s">
        <v>391</v>
      </c>
      <c r="J92" s="65"/>
    </row>
    <row r="93" spans="1:4" ht="15" customHeight="1">
      <c r="A93" s="55" t="s">
        <v>108</v>
      </c>
      <c r="B93" s="55" t="s">
        <v>419</v>
      </c>
      <c r="C93" s="55"/>
      <c r="D93" s="55"/>
    </row>
    <row r="94" spans="3:4" ht="10.5" customHeight="1">
      <c r="C94" s="55"/>
      <c r="D94" s="55"/>
    </row>
    <row r="95" spans="2:4" ht="15" customHeight="1">
      <c r="B95" s="55" t="s">
        <v>133</v>
      </c>
      <c r="C95" s="55" t="s">
        <v>343</v>
      </c>
      <c r="D95" s="55"/>
    </row>
    <row r="96" spans="3:4" ht="15" customHeight="1">
      <c r="C96" s="55" t="s">
        <v>344</v>
      </c>
      <c r="D96" s="55"/>
    </row>
    <row r="97" spans="1:4" ht="15" customHeight="1">
      <c r="A97" s="56"/>
      <c r="B97" s="39"/>
      <c r="C97" s="55" t="s">
        <v>345</v>
      </c>
      <c r="D97" s="55"/>
    </row>
    <row r="98" spans="1:10" ht="7.5" customHeight="1">
      <c r="A98" s="56"/>
      <c r="B98" s="39"/>
      <c r="D98" s="55"/>
      <c r="E98" s="55"/>
      <c r="J98" s="159"/>
    </row>
    <row r="99" spans="1:4" ht="15" customHeight="1">
      <c r="A99" s="56"/>
      <c r="B99" s="55" t="s">
        <v>134</v>
      </c>
      <c r="C99" s="55" t="s">
        <v>346</v>
      </c>
      <c r="D99" s="55"/>
    </row>
    <row r="100" spans="1:4" ht="15" customHeight="1">
      <c r="A100" s="56"/>
      <c r="C100" s="55" t="s">
        <v>420</v>
      </c>
      <c r="D100" s="55"/>
    </row>
    <row r="101" spans="1:4" ht="15" customHeight="1">
      <c r="A101" s="56"/>
      <c r="C101" s="55" t="s">
        <v>347</v>
      </c>
      <c r="D101" s="55"/>
    </row>
    <row r="102" spans="1:4" ht="8.25" customHeight="1">
      <c r="A102" s="56"/>
      <c r="C102" s="55"/>
      <c r="D102" s="55"/>
    </row>
    <row r="103" spans="1:4" ht="15" customHeight="1">
      <c r="A103" s="56"/>
      <c r="B103" s="55" t="s">
        <v>135</v>
      </c>
      <c r="C103" s="55" t="s">
        <v>359</v>
      </c>
      <c r="D103" s="55"/>
    </row>
    <row r="104" spans="1:7" ht="15" customHeight="1">
      <c r="A104" s="56"/>
      <c r="C104" s="55" t="s">
        <v>421</v>
      </c>
      <c r="D104" s="55"/>
      <c r="G104" s="159"/>
    </row>
    <row r="105" spans="1:6" ht="15" customHeight="1">
      <c r="A105" s="56"/>
      <c r="C105" s="55" t="s">
        <v>361</v>
      </c>
      <c r="D105" s="55"/>
      <c r="F105" s="159"/>
    </row>
    <row r="106" spans="1:4" ht="8.25" customHeight="1">
      <c r="A106" s="56"/>
      <c r="C106" s="55"/>
      <c r="D106" s="55"/>
    </row>
    <row r="107" spans="1:4" ht="15" customHeight="1">
      <c r="A107" s="56"/>
      <c r="B107" s="55" t="s">
        <v>422</v>
      </c>
      <c r="C107" s="55" t="s">
        <v>423</v>
      </c>
      <c r="D107" s="55"/>
    </row>
    <row r="108" spans="1:4" ht="15" customHeight="1">
      <c r="A108" s="56"/>
      <c r="C108" s="55" t="s">
        <v>424</v>
      </c>
      <c r="D108" s="55"/>
    </row>
    <row r="109" spans="1:4" ht="15" customHeight="1">
      <c r="A109" s="56"/>
      <c r="C109" s="55" t="s">
        <v>425</v>
      </c>
      <c r="D109" s="55"/>
    </row>
    <row r="110" spans="3:4" ht="7.5" customHeight="1">
      <c r="C110" s="55"/>
      <c r="D110" s="55"/>
    </row>
    <row r="111" spans="2:4" ht="15" customHeight="1">
      <c r="B111" s="55" t="s">
        <v>426</v>
      </c>
      <c r="C111" s="55"/>
      <c r="D111" s="55"/>
    </row>
    <row r="112" spans="1:4" ht="15" customHeight="1">
      <c r="A112" s="56"/>
      <c r="B112" s="55" t="s">
        <v>427</v>
      </c>
      <c r="C112" s="55"/>
      <c r="D112" s="55"/>
    </row>
    <row r="113" spans="1:4" ht="15" customHeight="1">
      <c r="A113" s="56"/>
      <c r="B113" s="55" t="s">
        <v>428</v>
      </c>
      <c r="C113" s="55"/>
      <c r="D113" s="55"/>
    </row>
    <row r="114" spans="1:4" ht="15" customHeight="1">
      <c r="A114" s="56"/>
      <c r="B114" s="55" t="s">
        <v>453</v>
      </c>
      <c r="C114" s="55"/>
      <c r="D114" s="55"/>
    </row>
    <row r="115" spans="1:4" ht="15" customHeight="1">
      <c r="A115" s="56"/>
      <c r="C115" s="55"/>
      <c r="D115" s="55"/>
    </row>
    <row r="116" spans="1:4" ht="15" customHeight="1">
      <c r="A116" s="56"/>
      <c r="C116" s="55"/>
      <c r="D116" s="55"/>
    </row>
    <row r="117" spans="1:4" ht="15" customHeight="1">
      <c r="A117" s="56"/>
      <c r="C117" s="55"/>
      <c r="D117" s="55"/>
    </row>
    <row r="118" spans="1:4" ht="15" customHeight="1">
      <c r="A118" s="56"/>
      <c r="C118" s="55"/>
      <c r="D118" s="55"/>
    </row>
    <row r="119" spans="1:4" ht="15" customHeight="1">
      <c r="A119" s="56"/>
      <c r="C119" s="55"/>
      <c r="D119" s="55"/>
    </row>
    <row r="120" spans="1:4" ht="15" customHeight="1">
      <c r="A120" s="55" t="s">
        <v>109</v>
      </c>
      <c r="B120" s="156" t="s">
        <v>441</v>
      </c>
      <c r="C120" s="55"/>
      <c r="D120" s="55"/>
    </row>
    <row r="121" spans="2:4" ht="15" customHeight="1">
      <c r="B121" s="57"/>
      <c r="C121" s="57"/>
      <c r="D121" s="57"/>
    </row>
    <row r="122" spans="2:18" ht="15" customHeight="1">
      <c r="B122" s="109" t="s">
        <v>74</v>
      </c>
      <c r="C122" s="55"/>
      <c r="F122" s="71"/>
      <c r="G122" s="71"/>
      <c r="H122" s="72"/>
      <c r="I122" s="183" t="s">
        <v>136</v>
      </c>
      <c r="J122" s="71" t="s">
        <v>137</v>
      </c>
      <c r="K122" s="71" t="s">
        <v>92</v>
      </c>
      <c r="L122" s="61"/>
      <c r="M122" s="61"/>
      <c r="N122" s="61"/>
      <c r="O122" s="61"/>
      <c r="P122" s="61"/>
      <c r="Q122" s="61"/>
      <c r="R122" s="61"/>
    </row>
    <row r="123" spans="3:18" ht="15" customHeight="1">
      <c r="C123" s="55"/>
      <c r="F123" s="71"/>
      <c r="G123" s="71"/>
      <c r="H123" s="72"/>
      <c r="I123" s="90"/>
      <c r="J123" s="71" t="s">
        <v>138</v>
      </c>
      <c r="K123" s="71"/>
      <c r="L123" s="61"/>
      <c r="M123" s="61"/>
      <c r="N123" s="61"/>
      <c r="O123" s="61"/>
      <c r="P123" s="61"/>
      <c r="Q123" s="61"/>
      <c r="R123" s="61"/>
    </row>
    <row r="124" spans="2:18" ht="15" customHeight="1">
      <c r="B124" s="39"/>
      <c r="C124" s="55"/>
      <c r="D124" s="55"/>
      <c r="I124" s="39" t="s">
        <v>73</v>
      </c>
      <c r="J124" s="39" t="s">
        <v>73</v>
      </c>
      <c r="K124" s="39" t="s">
        <v>73</v>
      </c>
      <c r="N124" s="52"/>
      <c r="Q124" s="52"/>
      <c r="R124" s="52"/>
    </row>
    <row r="125" spans="2:18" ht="15" customHeight="1">
      <c r="B125" s="55" t="s">
        <v>213</v>
      </c>
      <c r="C125" s="55"/>
      <c r="D125" s="55"/>
      <c r="I125" s="65">
        <v>2654854</v>
      </c>
      <c r="J125" s="65">
        <v>0</v>
      </c>
      <c r="K125" s="65">
        <f>SUM(I125:J125)</f>
        <v>2654854</v>
      </c>
      <c r="N125" s="52"/>
      <c r="Q125" s="52"/>
      <c r="R125" s="52"/>
    </row>
    <row r="126" spans="2:18" ht="15" customHeight="1">
      <c r="B126" s="55" t="s">
        <v>217</v>
      </c>
      <c r="C126" s="55"/>
      <c r="D126" s="55"/>
      <c r="E126" s="62"/>
      <c r="F126" s="62"/>
      <c r="G126" s="62"/>
      <c r="H126" s="62"/>
      <c r="I126" s="65">
        <f>807+13338+1216</f>
        <v>15361</v>
      </c>
      <c r="J126" s="65">
        <f>19194+2983</f>
        <v>22177</v>
      </c>
      <c r="K126" s="65">
        <f>SUM(I126:J126)</f>
        <v>37538</v>
      </c>
      <c r="N126" s="52"/>
      <c r="Q126" s="52"/>
      <c r="R126" s="52"/>
    </row>
    <row r="127" spans="2:18" ht="15" customHeight="1">
      <c r="B127" s="55" t="s">
        <v>218</v>
      </c>
      <c r="C127" s="55"/>
      <c r="D127" s="55"/>
      <c r="E127" s="62"/>
      <c r="F127" s="62"/>
      <c r="G127" s="62"/>
      <c r="H127" s="62"/>
      <c r="I127" s="65">
        <v>0</v>
      </c>
      <c r="J127" s="65">
        <f>-J126-J125</f>
        <v>-22177</v>
      </c>
      <c r="K127" s="65">
        <f>SUM(I127:J127)</f>
        <v>-22177</v>
      </c>
      <c r="N127" s="52"/>
      <c r="Q127" s="52"/>
      <c r="R127" s="52"/>
    </row>
    <row r="128" spans="2:18" ht="15" customHeight="1" thickBot="1">
      <c r="B128" s="63" t="s">
        <v>102</v>
      </c>
      <c r="C128" s="63"/>
      <c r="D128" s="63"/>
      <c r="F128" s="65"/>
      <c r="G128" s="65"/>
      <c r="H128" s="65"/>
      <c r="I128" s="79">
        <f>SUM(I125:I127)</f>
        <v>2670215</v>
      </c>
      <c r="J128" s="79">
        <f>SUM(J125:J127)</f>
        <v>0</v>
      </c>
      <c r="K128" s="79">
        <f>SUM(K125:K127)</f>
        <v>2670215</v>
      </c>
      <c r="N128" s="52"/>
      <c r="Q128" s="52"/>
      <c r="R128" s="52"/>
    </row>
    <row r="129" spans="3:18" ht="15" customHeight="1" thickTop="1">
      <c r="C129" s="55"/>
      <c r="D129" s="55"/>
      <c r="F129" s="65"/>
      <c r="G129" s="65"/>
      <c r="H129" s="65"/>
      <c r="I129" s="65"/>
      <c r="J129" s="65"/>
      <c r="N129" s="52"/>
      <c r="Q129" s="64"/>
      <c r="R129" s="64"/>
    </row>
    <row r="130" spans="2:4" ht="15" customHeight="1">
      <c r="B130" s="109" t="s">
        <v>166</v>
      </c>
      <c r="C130" s="55"/>
      <c r="D130" s="55"/>
    </row>
    <row r="131" spans="2:18" ht="15" customHeight="1">
      <c r="B131" s="55" t="s">
        <v>213</v>
      </c>
      <c r="C131" s="55"/>
      <c r="D131" s="55"/>
      <c r="I131"/>
      <c r="J131"/>
      <c r="K131" s="65">
        <v>492643</v>
      </c>
      <c r="N131" s="52"/>
      <c r="Q131" s="52"/>
      <c r="R131" s="52"/>
    </row>
    <row r="132" spans="2:18" ht="15" customHeight="1">
      <c r="B132" s="55" t="s">
        <v>217</v>
      </c>
      <c r="C132" s="55"/>
      <c r="D132" s="55"/>
      <c r="I132"/>
      <c r="J132"/>
      <c r="K132" s="44">
        <f>-2816-15809</f>
        <v>-18625</v>
      </c>
      <c r="N132" s="52"/>
      <c r="Q132" s="52"/>
      <c r="R132" s="52"/>
    </row>
    <row r="133" spans="3:18" ht="15" customHeight="1">
      <c r="C133" s="55"/>
      <c r="D133" s="55"/>
      <c r="I133" s="154"/>
      <c r="J133" s="154"/>
      <c r="K133" s="65">
        <f>SUM(K131:K132)</f>
        <v>474018</v>
      </c>
      <c r="N133" s="52"/>
      <c r="Q133" s="52"/>
      <c r="R133" s="52"/>
    </row>
    <row r="134" spans="2:18" ht="15" customHeight="1">
      <c r="B134" s="55" t="s">
        <v>130</v>
      </c>
      <c r="C134" s="55"/>
      <c r="D134" s="55"/>
      <c r="F134" s="65"/>
      <c r="G134" s="65"/>
      <c r="H134" s="65"/>
      <c r="I134" s="65"/>
      <c r="J134" s="65"/>
      <c r="K134" s="44">
        <v>-4435</v>
      </c>
      <c r="N134" s="52"/>
      <c r="Q134" s="52"/>
      <c r="R134" s="52"/>
    </row>
    <row r="135" spans="2:18" ht="15" customHeight="1">
      <c r="B135" s="63" t="s">
        <v>214</v>
      </c>
      <c r="C135" s="63"/>
      <c r="D135" s="63"/>
      <c r="F135" s="81"/>
      <c r="G135" s="81"/>
      <c r="H135" s="81"/>
      <c r="I135" s="81"/>
      <c r="J135" s="81"/>
      <c r="K135" s="81">
        <f>+K133+K134</f>
        <v>469583</v>
      </c>
      <c r="N135" s="52"/>
      <c r="Q135" s="52"/>
      <c r="R135" s="52"/>
    </row>
    <row r="136" spans="2:18" ht="15" customHeight="1">
      <c r="B136" s="55" t="s">
        <v>75</v>
      </c>
      <c r="C136" s="55"/>
      <c r="D136" s="55"/>
      <c r="F136" s="65"/>
      <c r="G136" s="65"/>
      <c r="H136" s="65"/>
      <c r="I136" s="65"/>
      <c r="J136" s="65"/>
      <c r="K136" s="65">
        <f>+PL!H18</f>
        <v>-10438</v>
      </c>
      <c r="N136" s="66"/>
      <c r="Q136" s="64"/>
      <c r="R136" s="64"/>
    </row>
    <row r="137" spans="2:18" ht="15" customHeight="1">
      <c r="B137" s="55" t="s">
        <v>98</v>
      </c>
      <c r="C137" s="55"/>
      <c r="D137" s="55"/>
      <c r="F137" s="65"/>
      <c r="G137" s="65"/>
      <c r="H137" s="65"/>
      <c r="I137" s="65"/>
      <c r="J137" s="65"/>
      <c r="K137" s="65">
        <f>PL!H16-645</f>
        <v>55138</v>
      </c>
      <c r="N137" s="52"/>
      <c r="Q137" s="52"/>
      <c r="R137" s="52"/>
    </row>
    <row r="138" spans="2:18" ht="15" customHeight="1">
      <c r="B138" s="55" t="s">
        <v>442</v>
      </c>
      <c r="C138" s="55"/>
      <c r="D138" s="55"/>
      <c r="F138" s="65"/>
      <c r="G138" s="65"/>
      <c r="H138" s="65"/>
      <c r="I138" s="65"/>
      <c r="J138" s="65"/>
      <c r="K138" s="65">
        <f>150+495</f>
        <v>645</v>
      </c>
      <c r="N138" s="52"/>
      <c r="Q138" s="52"/>
      <c r="R138" s="52"/>
    </row>
    <row r="139" spans="2:18" ht="15" customHeight="1">
      <c r="B139" s="55" t="s">
        <v>348</v>
      </c>
      <c r="C139" s="55"/>
      <c r="D139" s="55"/>
      <c r="F139" s="65"/>
      <c r="G139" s="65"/>
      <c r="H139" s="65"/>
      <c r="I139" s="65"/>
      <c r="J139" s="65"/>
      <c r="K139" s="65">
        <f>-24155-150-495</f>
        <v>-24800</v>
      </c>
      <c r="N139" s="52"/>
      <c r="Q139" s="52"/>
      <c r="R139" s="52"/>
    </row>
    <row r="140" spans="2:18" ht="15" customHeight="1">
      <c r="B140" s="55" t="s">
        <v>349</v>
      </c>
      <c r="C140" s="55"/>
      <c r="D140" s="55"/>
      <c r="F140" s="65"/>
      <c r="G140" s="65"/>
      <c r="H140" s="65"/>
      <c r="I140" s="65"/>
      <c r="J140" s="65"/>
      <c r="K140" s="44">
        <f>PL!H19</f>
        <v>-1736</v>
      </c>
      <c r="N140" s="52"/>
      <c r="Q140" s="52"/>
      <c r="R140" s="52"/>
    </row>
    <row r="141" spans="2:18" ht="15" customHeight="1">
      <c r="B141" s="55" t="s">
        <v>162</v>
      </c>
      <c r="C141" s="55"/>
      <c r="D141" s="55"/>
      <c r="F141" s="65"/>
      <c r="G141" s="65"/>
      <c r="H141" s="65"/>
      <c r="I141" s="65"/>
      <c r="J141" s="65"/>
      <c r="K141" s="39">
        <f>SUM(K135:K140)</f>
        <v>488392</v>
      </c>
      <c r="N141" s="52"/>
      <c r="Q141" s="52"/>
      <c r="R141" s="52"/>
    </row>
    <row r="142" spans="2:18" ht="15" customHeight="1">
      <c r="B142" s="55" t="s">
        <v>454</v>
      </c>
      <c r="C142" s="55"/>
      <c r="D142" s="55"/>
      <c r="F142" s="65"/>
      <c r="G142" s="65"/>
      <c r="H142" s="65"/>
      <c r="I142" s="65"/>
      <c r="J142" s="65"/>
      <c r="K142" s="44">
        <f>+PL!H23</f>
        <v>-151837</v>
      </c>
      <c r="N142" s="52"/>
      <c r="Q142" s="52"/>
      <c r="R142" s="52"/>
    </row>
    <row r="143" spans="2:18" ht="15" customHeight="1" thickBot="1">
      <c r="B143" s="55" t="s">
        <v>221</v>
      </c>
      <c r="C143" s="55"/>
      <c r="D143" s="55"/>
      <c r="F143" s="65"/>
      <c r="G143" s="65"/>
      <c r="H143" s="65"/>
      <c r="I143" s="65"/>
      <c r="J143" s="65"/>
      <c r="K143" s="160">
        <f>+K141+K142</f>
        <v>336555</v>
      </c>
      <c r="N143" s="66"/>
      <c r="Q143" s="64"/>
      <c r="R143" s="64"/>
    </row>
    <row r="144" spans="2:18" ht="12.75" customHeight="1">
      <c r="B144" s="93"/>
      <c r="J144" s="65"/>
      <c r="N144" s="52"/>
      <c r="Q144" s="52"/>
      <c r="R144" s="52"/>
    </row>
    <row r="145" spans="1:4" ht="15" customHeight="1">
      <c r="A145" s="55" t="s">
        <v>110</v>
      </c>
      <c r="B145" s="55" t="s">
        <v>222</v>
      </c>
      <c r="C145" s="55"/>
      <c r="D145" s="55"/>
    </row>
    <row r="146" spans="1:4" ht="15" customHeight="1">
      <c r="A146" s="56"/>
      <c r="B146" s="55" t="s">
        <v>328</v>
      </c>
      <c r="C146" s="55"/>
      <c r="D146" s="55"/>
    </row>
    <row r="147" spans="2:4" ht="10.5" customHeight="1">
      <c r="B147" s="39"/>
      <c r="D147" s="55"/>
    </row>
    <row r="148" spans="1:4" ht="15" customHeight="1">
      <c r="A148" s="55" t="s">
        <v>111</v>
      </c>
      <c r="B148" s="55" t="s">
        <v>429</v>
      </c>
      <c r="C148" s="55"/>
      <c r="D148" s="55"/>
    </row>
    <row r="149" spans="2:4" ht="15" customHeight="1">
      <c r="B149" s="55" t="s">
        <v>160</v>
      </c>
      <c r="C149" s="57"/>
      <c r="D149" s="57"/>
    </row>
    <row r="150" spans="1:4" ht="12" customHeight="1">
      <c r="A150" s="39"/>
      <c r="B150" s="39"/>
      <c r="C150" s="55"/>
      <c r="D150" s="55"/>
    </row>
    <row r="151" spans="1:4" ht="15" customHeight="1">
      <c r="A151" s="55" t="s">
        <v>112</v>
      </c>
      <c r="B151" s="55" t="s">
        <v>443</v>
      </c>
      <c r="C151" s="55"/>
      <c r="D151" s="55"/>
    </row>
    <row r="152" spans="2:4" ht="15" customHeight="1">
      <c r="B152" s="55" t="s">
        <v>329</v>
      </c>
      <c r="C152" s="57"/>
      <c r="D152" s="57"/>
    </row>
    <row r="153" ht="15" customHeight="1">
      <c r="B153" s="55" t="s">
        <v>444</v>
      </c>
    </row>
    <row r="154" ht="12" customHeight="1"/>
    <row r="155" spans="2:3" ht="15" customHeight="1">
      <c r="B155" s="55" t="s">
        <v>445</v>
      </c>
      <c r="C155" s="55" t="s">
        <v>446</v>
      </c>
    </row>
    <row r="156" ht="15" customHeight="1">
      <c r="C156" s="55" t="s">
        <v>26</v>
      </c>
    </row>
    <row r="157" ht="15" customHeight="1">
      <c r="C157" s="55" t="s">
        <v>28</v>
      </c>
    </row>
    <row r="158" ht="15" customHeight="1">
      <c r="C158" s="55" t="s">
        <v>27</v>
      </c>
    </row>
    <row r="159" ht="9.75" customHeight="1">
      <c r="C159" s="55"/>
    </row>
    <row r="160" spans="2:3" ht="15" customHeight="1">
      <c r="B160" s="55" t="s">
        <v>447</v>
      </c>
      <c r="C160" s="55" t="s">
        <v>448</v>
      </c>
    </row>
    <row r="161" ht="15" customHeight="1">
      <c r="C161" s="55" t="s">
        <v>449</v>
      </c>
    </row>
    <row r="162" ht="15" customHeight="1">
      <c r="C162" s="90" t="s">
        <v>41</v>
      </c>
    </row>
    <row r="163" ht="15" customHeight="1">
      <c r="C163" s="55" t="s">
        <v>42</v>
      </c>
    </row>
    <row r="164" ht="15" customHeight="1">
      <c r="C164" s="55" t="s">
        <v>43</v>
      </c>
    </row>
    <row r="165" ht="15" customHeight="1">
      <c r="C165" s="55" t="s">
        <v>44</v>
      </c>
    </row>
    <row r="166" ht="15" customHeight="1">
      <c r="C166" s="90" t="s">
        <v>45</v>
      </c>
    </row>
    <row r="167" spans="1:4" ht="15" customHeight="1">
      <c r="A167" s="56"/>
      <c r="C167" s="55" t="s">
        <v>46</v>
      </c>
      <c r="D167" s="55"/>
    </row>
    <row r="168" spans="1:4" ht="9" customHeight="1">
      <c r="A168" s="56"/>
      <c r="C168" s="55"/>
      <c r="D168" s="55"/>
    </row>
    <row r="169" spans="1:4" ht="15" customHeight="1">
      <c r="A169" s="56"/>
      <c r="B169" s="55" t="s">
        <v>450</v>
      </c>
      <c r="C169" s="55" t="s">
        <v>47</v>
      </c>
      <c r="D169" s="55"/>
    </row>
    <row r="170" spans="1:4" ht="15" customHeight="1">
      <c r="A170" s="56"/>
      <c r="C170" s="55" t="s">
        <v>451</v>
      </c>
      <c r="D170" s="55"/>
    </row>
    <row r="171" spans="1:4" ht="15">
      <c r="A171" s="56"/>
      <c r="C171" s="55"/>
      <c r="D171" s="55"/>
    </row>
    <row r="172" spans="1:4" ht="15">
      <c r="A172" s="56"/>
      <c r="C172" s="55"/>
      <c r="D172" s="55"/>
    </row>
    <row r="173" spans="1:4" ht="15">
      <c r="A173" s="56"/>
      <c r="C173" s="55"/>
      <c r="D173" s="55"/>
    </row>
    <row r="174" spans="1:4" ht="15">
      <c r="A174" s="56"/>
      <c r="C174" s="55"/>
      <c r="D174" s="55"/>
    </row>
    <row r="175" spans="1:4" ht="15">
      <c r="A175" s="56"/>
      <c r="C175" s="55"/>
      <c r="D175" s="55"/>
    </row>
    <row r="176" spans="1:4" ht="15">
      <c r="A176" s="56"/>
      <c r="C176" s="55"/>
      <c r="D176" s="55"/>
    </row>
    <row r="177" spans="1:4" ht="15">
      <c r="A177" s="55" t="s">
        <v>113</v>
      </c>
      <c r="B177" s="55" t="s">
        <v>330</v>
      </c>
      <c r="C177" s="55"/>
      <c r="D177" s="55"/>
    </row>
    <row r="178" spans="2:4" ht="15">
      <c r="B178" s="55" t="s">
        <v>191</v>
      </c>
      <c r="C178" s="55"/>
      <c r="D178" s="55"/>
    </row>
    <row r="179" spans="3:4" ht="15" customHeight="1">
      <c r="C179" s="55"/>
      <c r="D179" s="55"/>
    </row>
    <row r="180" spans="2:11" ht="16.5" customHeight="1">
      <c r="B180" s="109" t="s">
        <v>193</v>
      </c>
      <c r="C180" s="55"/>
      <c r="E180" s="55"/>
      <c r="J180" s="52" t="s">
        <v>192</v>
      </c>
      <c r="K180" s="52" t="s">
        <v>73</v>
      </c>
    </row>
    <row r="181" spans="2:5" ht="15">
      <c r="B181" s="55" t="s">
        <v>277</v>
      </c>
      <c r="E181" s="55"/>
    </row>
    <row r="182" spans="2:4" ht="15">
      <c r="B182" s="55" t="s">
        <v>335</v>
      </c>
      <c r="D182" s="55"/>
    </row>
    <row r="183" spans="1:11" ht="15">
      <c r="A183" s="56"/>
      <c r="B183" s="39"/>
      <c r="C183" s="55" t="s">
        <v>430</v>
      </c>
      <c r="D183" s="55"/>
      <c r="J183" s="124">
        <v>18000</v>
      </c>
      <c r="K183" s="130">
        <f>+J183*3.8</f>
        <v>68400</v>
      </c>
    </row>
    <row r="184" spans="1:11" ht="15">
      <c r="A184" s="56"/>
      <c r="B184" s="39"/>
      <c r="C184" s="55" t="s">
        <v>431</v>
      </c>
      <c r="D184" s="55"/>
      <c r="J184" s="120">
        <v>-18000</v>
      </c>
      <c r="K184" s="123">
        <f>+J184*3.8</f>
        <v>-68400</v>
      </c>
    </row>
    <row r="185" spans="1:11" ht="15">
      <c r="A185" s="56"/>
      <c r="B185" s="39"/>
      <c r="C185" s="55" t="s">
        <v>432</v>
      </c>
      <c r="D185" s="55"/>
      <c r="J185" s="65">
        <f>SUM(J183:J184)</f>
        <v>0</v>
      </c>
      <c r="K185" s="65">
        <f>SUM(K183:K184)</f>
        <v>0</v>
      </c>
    </row>
    <row r="186" spans="1:4" ht="9.75" customHeight="1">
      <c r="A186" s="56"/>
      <c r="B186" s="39"/>
      <c r="D186" s="55"/>
    </row>
    <row r="187" spans="1:4" ht="15">
      <c r="A187" s="56"/>
      <c r="B187" s="87" t="s">
        <v>336</v>
      </c>
      <c r="D187" s="55"/>
    </row>
    <row r="188" spans="1:11" ht="15">
      <c r="A188" s="56"/>
      <c r="B188" s="39"/>
      <c r="C188" s="39" t="s">
        <v>323</v>
      </c>
      <c r="D188" s="55"/>
      <c r="J188" s="130">
        <v>790</v>
      </c>
      <c r="K188" s="130">
        <f>ROUND(+J188*3.8,0)</f>
        <v>3002</v>
      </c>
    </row>
    <row r="189" spans="1:11" ht="15">
      <c r="A189" s="56"/>
      <c r="B189" s="39"/>
      <c r="C189" s="39" t="s">
        <v>194</v>
      </c>
      <c r="D189" s="55"/>
      <c r="J189" s="177">
        <v>-790</v>
      </c>
      <c r="K189" s="177">
        <f>ROUND(+J189*3.8,0)</f>
        <v>-3002</v>
      </c>
    </row>
    <row r="190" spans="1:11" ht="15">
      <c r="A190" s="56"/>
      <c r="B190" s="39"/>
      <c r="C190" s="39" t="s">
        <v>379</v>
      </c>
      <c r="D190" s="55"/>
      <c r="J190" s="159">
        <f>+J188+J189</f>
        <v>0</v>
      </c>
      <c r="K190" s="39">
        <f>+K188+K189</f>
        <v>0</v>
      </c>
    </row>
    <row r="191" spans="1:11" ht="15.75" thickBot="1">
      <c r="A191" s="56"/>
      <c r="B191" s="55" t="s">
        <v>92</v>
      </c>
      <c r="D191" s="55"/>
      <c r="J191" s="79">
        <f>J185+J190</f>
        <v>0</v>
      </c>
      <c r="K191" s="79">
        <f>K185+K190</f>
        <v>0</v>
      </c>
    </row>
    <row r="192" spans="1:4" ht="15" customHeight="1" thickTop="1">
      <c r="A192" s="56"/>
      <c r="B192" s="39"/>
      <c r="D192" s="55"/>
    </row>
    <row r="193" spans="1:4" ht="15" customHeight="1">
      <c r="A193" s="56"/>
      <c r="B193" s="55" t="s">
        <v>71</v>
      </c>
      <c r="D193" s="55"/>
    </row>
    <row r="194" spans="1:4" ht="15">
      <c r="A194" s="56"/>
      <c r="B194" s="55" t="s">
        <v>466</v>
      </c>
      <c r="D194" s="55"/>
    </row>
    <row r="196" spans="2:4" ht="15">
      <c r="B196" s="55" t="s">
        <v>467</v>
      </c>
      <c r="C196" s="55"/>
      <c r="D196" s="55"/>
    </row>
    <row r="197" spans="2:4" ht="15">
      <c r="B197" s="55" t="s">
        <v>468</v>
      </c>
      <c r="C197" s="67"/>
      <c r="D197" s="67"/>
    </row>
    <row r="198" spans="2:4" ht="15">
      <c r="B198" s="55" t="s">
        <v>469</v>
      </c>
      <c r="C198" s="54"/>
      <c r="D198" s="54"/>
    </row>
    <row r="199" ht="15">
      <c r="B199" s="55" t="s">
        <v>61</v>
      </c>
    </row>
    <row r="203" spans="3:4" ht="15">
      <c r="C203" s="55"/>
      <c r="D203" s="55"/>
    </row>
    <row r="204" spans="3:4" ht="15">
      <c r="C204" s="55"/>
      <c r="D204" s="55"/>
    </row>
    <row r="205" spans="3:4" ht="15">
      <c r="C205" s="55"/>
      <c r="D205" s="55"/>
    </row>
    <row r="206" spans="3:4" ht="15">
      <c r="C206" s="55"/>
      <c r="D206" s="55"/>
    </row>
    <row r="207" spans="3:4" ht="15">
      <c r="C207" s="55"/>
      <c r="D207" s="55"/>
    </row>
    <row r="213" spans="3:19" ht="15">
      <c r="C213" s="55"/>
      <c r="D213" s="55"/>
      <c r="S213" s="52"/>
    </row>
    <row r="214" spans="3:14" ht="15">
      <c r="C214" s="55"/>
      <c r="D214" s="55"/>
      <c r="N214" s="52"/>
    </row>
    <row r="215" spans="3:19" ht="15">
      <c r="C215" s="55"/>
      <c r="D215" s="55"/>
      <c r="O215" s="52"/>
      <c r="S215" s="52"/>
    </row>
    <row r="217" spans="3:19" ht="15">
      <c r="C217" s="55"/>
      <c r="D217" s="55"/>
      <c r="S217" s="52"/>
    </row>
    <row r="220" spans="3:4" ht="15">
      <c r="C220" s="55"/>
      <c r="D220" s="55"/>
    </row>
    <row r="221" spans="3:12" ht="15">
      <c r="C221" s="55"/>
      <c r="D221" s="55"/>
      <c r="L221" s="52"/>
    </row>
    <row r="224" spans="3:4" ht="15">
      <c r="C224" s="55"/>
      <c r="D224" s="55"/>
    </row>
  </sheetData>
  <mergeCells count="7">
    <mergeCell ref="I63:J63"/>
    <mergeCell ref="I64:J64"/>
    <mergeCell ref="G64:H64"/>
    <mergeCell ref="D47:F47"/>
    <mergeCell ref="G48:H48"/>
    <mergeCell ref="I48:J48"/>
    <mergeCell ref="I47:J47"/>
  </mergeCells>
  <printOptions/>
  <pageMargins left="0.59" right="0.14" top="0.73" bottom="0.31" header="0.33" footer="0.25"/>
  <pageSetup firstPageNumber="5" useFirstPageNumber="1" horizontalDpi="600" verticalDpi="600" orientation="portrait" paperSize="9" scale="95" r:id="rId1"/>
  <headerFooter alignWithMargins="0">
    <oddHeader>&amp;R&amp;"Arial,Bold"Berjaya Sports Toto Berhad&amp;U
&amp;9&amp;U(&amp;"Arial,Regular"Company No. 9109-K)
Quarterly Report 30-4-2005</oddHeader>
    <oddFooter>&amp;R&amp;"Arial,Bold"    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M218"/>
  <sheetViews>
    <sheetView showGridLines="0" tabSelected="1" workbookViewId="0" topLeftCell="A124">
      <selection activeCell="E140" sqref="E140"/>
    </sheetView>
  </sheetViews>
  <sheetFormatPr defaultColWidth="9.140625" defaultRowHeight="12.75"/>
  <cols>
    <col min="1" max="1" width="4.421875" style="2" customWidth="1"/>
    <col min="2" max="2" width="3.28125" style="2" customWidth="1"/>
    <col min="3" max="3" width="8.421875" style="2" customWidth="1"/>
    <col min="4" max="4" width="10.28125" style="2" customWidth="1"/>
    <col min="5" max="5" width="9.57421875" style="2" customWidth="1"/>
    <col min="6" max="6" width="12.28125" style="2" customWidth="1"/>
    <col min="7" max="7" width="10.8515625" style="2" customWidth="1"/>
    <col min="8" max="8" width="10.140625" style="68" customWidth="1"/>
    <col min="9" max="9" width="11.7109375" style="68" customWidth="1"/>
    <col min="10" max="10" width="9.57421875" style="68" customWidth="1"/>
    <col min="11" max="11" width="7.140625" style="2" customWidth="1"/>
    <col min="12" max="12" width="7.8515625" style="2" customWidth="1"/>
    <col min="13" max="13" width="16.421875" style="2" customWidth="1"/>
    <col min="14" max="14" width="6.00390625" style="2" customWidth="1"/>
    <col min="15" max="15" width="6.140625" style="2" customWidth="1"/>
    <col min="16" max="16" width="5.57421875" style="2" customWidth="1"/>
    <col min="17" max="16384" width="9.140625" style="2" customWidth="1"/>
  </cols>
  <sheetData>
    <row r="1" spans="2:9" ht="15">
      <c r="B1" s="54"/>
      <c r="C1" s="54"/>
      <c r="D1" s="54"/>
      <c r="E1" s="39"/>
      <c r="F1" s="39"/>
      <c r="G1" s="39"/>
      <c r="H1" s="73"/>
      <c r="I1" s="73"/>
    </row>
    <row r="2" spans="2:9" ht="9.75" customHeight="1">
      <c r="B2" s="54"/>
      <c r="C2" s="54"/>
      <c r="D2" s="54"/>
      <c r="E2" s="39"/>
      <c r="F2" s="39"/>
      <c r="G2" s="39"/>
      <c r="H2" s="73"/>
      <c r="I2" s="73"/>
    </row>
    <row r="3" spans="1:9" ht="15">
      <c r="A3" s="5" t="str">
        <f>PL!A5</f>
        <v>UNAUDITED QUARTERLY FINANCIAL REPORT FOR THE YEAR ENDED 30 APRIL 2005</v>
      </c>
      <c r="B3" s="54"/>
      <c r="C3" s="54"/>
      <c r="D3" s="54"/>
      <c r="E3" s="39"/>
      <c r="F3" s="39"/>
      <c r="G3" s="39"/>
      <c r="H3" s="73"/>
      <c r="I3" s="73"/>
    </row>
    <row r="4" spans="1:9" ht="15">
      <c r="A4" s="53" t="s">
        <v>331</v>
      </c>
      <c r="B4" s="54"/>
      <c r="C4" s="54"/>
      <c r="D4" s="54"/>
      <c r="E4" s="39"/>
      <c r="F4" s="39"/>
      <c r="G4" s="39"/>
      <c r="H4" s="73"/>
      <c r="I4" s="73"/>
    </row>
    <row r="5" spans="1:9" ht="15">
      <c r="A5" s="53" t="s">
        <v>332</v>
      </c>
      <c r="B5" s="54"/>
      <c r="C5" s="54"/>
      <c r="D5" s="54"/>
      <c r="E5" s="39"/>
      <c r="F5" s="39"/>
      <c r="G5" s="39"/>
      <c r="H5" s="73"/>
      <c r="I5" s="73"/>
    </row>
    <row r="6" spans="1:9" ht="12" customHeight="1">
      <c r="A6" s="55"/>
      <c r="B6" s="55"/>
      <c r="C6" s="55"/>
      <c r="D6" s="55"/>
      <c r="E6" s="39"/>
      <c r="F6" s="39"/>
      <c r="G6" s="39"/>
      <c r="H6" s="73"/>
      <c r="I6" s="73"/>
    </row>
    <row r="7" spans="1:9" ht="15">
      <c r="A7" s="55" t="s">
        <v>114</v>
      </c>
      <c r="B7" s="55" t="s">
        <v>455</v>
      </c>
      <c r="C7" s="55"/>
      <c r="D7" s="55"/>
      <c r="E7" s="39"/>
      <c r="F7" s="39"/>
      <c r="G7" s="39"/>
      <c r="H7" s="73"/>
      <c r="I7" s="73"/>
    </row>
    <row r="8" spans="1:10" ht="15">
      <c r="A8" s="55"/>
      <c r="B8" s="2" t="s">
        <v>48</v>
      </c>
      <c r="F8" s="39"/>
      <c r="G8" s="39"/>
      <c r="H8"/>
      <c r="I8"/>
      <c r="J8" s="75"/>
    </row>
    <row r="9" spans="1:10" ht="10.5" customHeight="1">
      <c r="A9" s="55"/>
      <c r="F9" s="39"/>
      <c r="G9" s="39"/>
      <c r="H9"/>
      <c r="I9"/>
      <c r="J9" s="75"/>
    </row>
    <row r="10" spans="1:10" ht="15">
      <c r="A10" s="55"/>
      <c r="B10" s="2" t="s">
        <v>392</v>
      </c>
      <c r="F10" s="39"/>
      <c r="G10" s="39"/>
      <c r="H10"/>
      <c r="I10"/>
      <c r="J10" s="75"/>
    </row>
    <row r="11" spans="1:10" ht="15">
      <c r="A11" s="55"/>
      <c r="B11" s="2" t="s">
        <v>456</v>
      </c>
      <c r="F11" s="39"/>
      <c r="G11" s="39"/>
      <c r="H11"/>
      <c r="I11"/>
      <c r="J11" s="75"/>
    </row>
    <row r="12" spans="1:10" ht="15">
      <c r="A12" s="55"/>
      <c r="B12" s="2" t="s">
        <v>29</v>
      </c>
      <c r="F12" s="39"/>
      <c r="G12" s="39"/>
      <c r="H12"/>
      <c r="I12"/>
      <c r="J12" s="75"/>
    </row>
    <row r="13" spans="1:10" ht="15">
      <c r="A13" s="55"/>
      <c r="B13" s="2" t="s">
        <v>457</v>
      </c>
      <c r="F13" s="39"/>
      <c r="G13" s="39"/>
      <c r="H13"/>
      <c r="I13"/>
      <c r="J13" s="75"/>
    </row>
    <row r="14" spans="1:10" ht="15">
      <c r="A14" s="55"/>
      <c r="B14" s="2" t="s">
        <v>464</v>
      </c>
      <c r="F14" s="39"/>
      <c r="G14" s="39"/>
      <c r="H14"/>
      <c r="I14"/>
      <c r="J14" s="75"/>
    </row>
    <row r="15" spans="1:10" ht="15">
      <c r="A15" s="55"/>
      <c r="B15" s="2" t="s">
        <v>465</v>
      </c>
      <c r="F15" s="39"/>
      <c r="G15" s="39"/>
      <c r="H15"/>
      <c r="I15"/>
      <c r="J15" s="75"/>
    </row>
    <row r="16" spans="1:9" ht="11.25" customHeight="1">
      <c r="A16" s="55"/>
      <c r="G16" s="39"/>
      <c r="H16" s="74"/>
      <c r="I16" s="74"/>
    </row>
    <row r="17" spans="1:9" ht="15">
      <c r="A17" s="55"/>
      <c r="B17" s="2" t="s">
        <v>393</v>
      </c>
      <c r="G17" s="39"/>
      <c r="H17" s="74"/>
      <c r="I17" s="74"/>
    </row>
    <row r="18" spans="1:9" ht="15">
      <c r="A18" s="55"/>
      <c r="B18" s="2" t="s">
        <v>0</v>
      </c>
      <c r="G18" s="39"/>
      <c r="H18" s="74"/>
      <c r="I18" s="74"/>
    </row>
    <row r="19" spans="1:9" ht="10.5" customHeight="1">
      <c r="A19" s="55"/>
      <c r="G19" s="39"/>
      <c r="H19" s="74"/>
      <c r="I19" s="74"/>
    </row>
    <row r="20" spans="1:9" ht="15">
      <c r="A20" s="55"/>
      <c r="B20" s="2" t="s">
        <v>394</v>
      </c>
      <c r="G20" s="39"/>
      <c r="H20" s="74"/>
      <c r="I20" s="74"/>
    </row>
    <row r="21" spans="1:9" ht="15">
      <c r="A21" s="55"/>
      <c r="B21" s="2" t="s">
        <v>462</v>
      </c>
      <c r="G21" s="39"/>
      <c r="H21" s="74"/>
      <c r="I21" s="74"/>
    </row>
    <row r="22" spans="1:9" ht="15">
      <c r="A22" s="55"/>
      <c r="B22" s="2" t="s">
        <v>49</v>
      </c>
      <c r="G22" s="39"/>
      <c r="H22" s="74"/>
      <c r="I22" s="74"/>
    </row>
    <row r="23" spans="1:9" ht="15">
      <c r="A23" s="55"/>
      <c r="B23" s="2" t="s">
        <v>1</v>
      </c>
      <c r="G23" s="39"/>
      <c r="H23" s="74"/>
      <c r="I23" s="74"/>
    </row>
    <row r="24" spans="1:9" ht="15">
      <c r="A24" s="55"/>
      <c r="B24" s="2" t="s">
        <v>2</v>
      </c>
      <c r="G24" s="39"/>
      <c r="H24" s="74"/>
      <c r="I24" s="74"/>
    </row>
    <row r="25" spans="1:9" ht="11.25" customHeight="1">
      <c r="A25" s="55"/>
      <c r="G25" s="39"/>
      <c r="H25" s="74"/>
      <c r="I25" s="74"/>
    </row>
    <row r="26" spans="1:9" ht="15">
      <c r="A26" s="55" t="s">
        <v>115</v>
      </c>
      <c r="B26" s="55" t="s">
        <v>395</v>
      </c>
      <c r="C26" s="55"/>
      <c r="D26" s="55"/>
      <c r="E26" s="39"/>
      <c r="F26" s="39"/>
      <c r="G26" s="39"/>
      <c r="H26" s="73"/>
      <c r="I26" s="73"/>
    </row>
    <row r="27" spans="1:9" ht="15">
      <c r="A27" s="55"/>
      <c r="B27" s="55" t="s">
        <v>3</v>
      </c>
      <c r="C27" s="55"/>
      <c r="D27" s="55"/>
      <c r="E27" s="39"/>
      <c r="F27" s="39"/>
      <c r="G27" s="39"/>
      <c r="H27" s="173"/>
      <c r="I27" s="73"/>
    </row>
    <row r="28" spans="1:9" ht="15">
      <c r="A28" s="55"/>
      <c r="B28" s="55" t="s">
        <v>50</v>
      </c>
      <c r="C28" s="55"/>
      <c r="D28" s="55"/>
      <c r="E28" s="39"/>
      <c r="F28" s="39"/>
      <c r="G28" s="39"/>
      <c r="H28" s="173"/>
      <c r="I28" s="73"/>
    </row>
    <row r="29" spans="1:9" ht="15">
      <c r="A29" s="55"/>
      <c r="B29" s="55" t="s">
        <v>463</v>
      </c>
      <c r="C29" s="55"/>
      <c r="D29" s="55"/>
      <c r="E29" s="39"/>
      <c r="F29" s="39"/>
      <c r="G29" s="39"/>
      <c r="H29" s="173"/>
      <c r="I29" s="73"/>
    </row>
    <row r="30" spans="1:9" ht="11.25" customHeight="1">
      <c r="A30" s="55"/>
      <c r="B30" s="55"/>
      <c r="C30" s="55"/>
      <c r="D30" s="55"/>
      <c r="E30" s="39"/>
      <c r="F30" s="39"/>
      <c r="G30" s="39"/>
      <c r="H30" s="173"/>
      <c r="I30" s="73"/>
    </row>
    <row r="31" spans="1:9" ht="15">
      <c r="A31" s="55"/>
      <c r="B31" s="55" t="s">
        <v>396</v>
      </c>
      <c r="C31" s="55"/>
      <c r="D31" s="55"/>
      <c r="E31" s="39"/>
      <c r="F31" s="39"/>
      <c r="G31" s="39"/>
      <c r="H31" s="173"/>
      <c r="I31" s="73"/>
    </row>
    <row r="32" spans="1:9" ht="15">
      <c r="A32" s="55"/>
      <c r="B32" s="55" t="s">
        <v>51</v>
      </c>
      <c r="C32" s="55"/>
      <c r="D32" s="55"/>
      <c r="E32" s="39"/>
      <c r="F32" s="39"/>
      <c r="G32" s="39"/>
      <c r="H32" s="73"/>
      <c r="I32" s="73"/>
    </row>
    <row r="33" spans="1:9" ht="15" customHeight="1">
      <c r="A33" s="55"/>
      <c r="B33" s="55" t="s">
        <v>4</v>
      </c>
      <c r="C33" s="55"/>
      <c r="D33" s="55"/>
      <c r="E33" s="39"/>
      <c r="F33" s="39"/>
      <c r="G33" s="39"/>
      <c r="H33" s="73"/>
      <c r="I33" s="73"/>
    </row>
    <row r="34" spans="1:9" ht="15" customHeight="1">
      <c r="A34" s="55"/>
      <c r="B34" s="55" t="s">
        <v>397</v>
      </c>
      <c r="C34" s="55"/>
      <c r="D34" s="55"/>
      <c r="E34" s="39"/>
      <c r="F34" s="39"/>
      <c r="G34" s="39"/>
      <c r="H34" s="73"/>
      <c r="I34" s="73"/>
    </row>
    <row r="35" spans="1:9" ht="9.75" customHeight="1">
      <c r="A35" s="55"/>
      <c r="B35" s="55"/>
      <c r="C35" s="55"/>
      <c r="D35" s="55"/>
      <c r="E35" s="39"/>
      <c r="F35" s="39"/>
      <c r="G35" s="39"/>
      <c r="H35" s="73"/>
      <c r="I35" s="73"/>
    </row>
    <row r="36" spans="1:9" ht="15">
      <c r="A36" s="55" t="s">
        <v>116</v>
      </c>
      <c r="B36" s="55" t="s">
        <v>386</v>
      </c>
      <c r="C36" s="55"/>
      <c r="D36" s="55"/>
      <c r="E36" s="39"/>
      <c r="F36" s="39"/>
      <c r="G36" s="39"/>
      <c r="H36" s="73"/>
      <c r="I36" s="73"/>
    </row>
    <row r="37" spans="1:9" ht="15">
      <c r="A37" s="55"/>
      <c r="B37" s="55" t="s">
        <v>387</v>
      </c>
      <c r="C37" s="55"/>
      <c r="D37" s="55"/>
      <c r="E37" s="39"/>
      <c r="F37" s="39"/>
      <c r="G37" s="39"/>
      <c r="H37" s="73"/>
      <c r="I37" s="73"/>
    </row>
    <row r="38" spans="1:9" ht="15">
      <c r="A38" s="55"/>
      <c r="B38" s="55" t="s">
        <v>388</v>
      </c>
      <c r="C38" s="55"/>
      <c r="D38" s="55"/>
      <c r="E38" s="39"/>
      <c r="F38" s="39"/>
      <c r="G38" s="39"/>
      <c r="H38" s="73"/>
      <c r="I38" s="73"/>
    </row>
    <row r="39" spans="1:9" ht="10.5" customHeight="1">
      <c r="A39" s="55"/>
      <c r="B39" s="55"/>
      <c r="C39" s="55"/>
      <c r="D39" s="55"/>
      <c r="E39" s="39"/>
      <c r="F39" s="39"/>
      <c r="G39" s="39"/>
      <c r="H39" s="73"/>
      <c r="I39" s="73"/>
    </row>
    <row r="40" spans="1:9" ht="15">
      <c r="A40" s="56" t="s">
        <v>118</v>
      </c>
      <c r="B40" s="55" t="s">
        <v>384</v>
      </c>
      <c r="C40" s="55"/>
      <c r="D40" s="39"/>
      <c r="E40" s="39"/>
      <c r="F40" s="39"/>
      <c r="G40" s="39"/>
      <c r="H40" s="73"/>
      <c r="I40" s="73"/>
    </row>
    <row r="41" spans="1:9" ht="15">
      <c r="A41" s="56"/>
      <c r="B41" s="55" t="s">
        <v>385</v>
      </c>
      <c r="C41" s="55"/>
      <c r="D41" s="39"/>
      <c r="E41" s="39"/>
      <c r="F41" s="39"/>
      <c r="G41" s="39"/>
      <c r="H41" s="73"/>
      <c r="I41" s="73"/>
    </row>
    <row r="42" spans="2:9" ht="9.75" customHeight="1">
      <c r="B42" s="55"/>
      <c r="C42" s="55"/>
      <c r="D42" s="39"/>
      <c r="E42" s="39"/>
      <c r="F42" s="39"/>
      <c r="G42" s="39"/>
      <c r="H42" s="73"/>
      <c r="I42" s="73"/>
    </row>
    <row r="43" spans="1:2" ht="15" customHeight="1">
      <c r="A43" s="2" t="s">
        <v>119</v>
      </c>
      <c r="B43" s="2" t="s">
        <v>86</v>
      </c>
    </row>
    <row r="44" spans="7:9" ht="15" customHeight="1">
      <c r="G44" s="27" t="s">
        <v>120</v>
      </c>
      <c r="H44" s="2"/>
      <c r="I44" s="27" t="s">
        <v>433</v>
      </c>
    </row>
    <row r="45" spans="2:9" ht="14.25" customHeight="1">
      <c r="B45" s="4"/>
      <c r="C45" s="4"/>
      <c r="D45" s="4"/>
      <c r="E45" s="4"/>
      <c r="F45" s="4"/>
      <c r="G45" s="27" t="s">
        <v>121</v>
      </c>
      <c r="H45" s="2"/>
      <c r="I45" s="162" t="s">
        <v>398</v>
      </c>
    </row>
    <row r="46" spans="2:9" ht="15" customHeight="1">
      <c r="B46" s="4"/>
      <c r="C46" s="4"/>
      <c r="D46" s="4"/>
      <c r="E46" s="4"/>
      <c r="F46" s="4"/>
      <c r="G46" s="112" t="s">
        <v>73</v>
      </c>
      <c r="H46" s="2"/>
      <c r="I46" s="112" t="s">
        <v>73</v>
      </c>
    </row>
    <row r="47" spans="2:9" ht="15" customHeight="1">
      <c r="B47" s="2" t="s">
        <v>281</v>
      </c>
      <c r="G47" s="73"/>
      <c r="H47" s="73"/>
      <c r="I47" s="65"/>
    </row>
    <row r="48" spans="2:9" ht="15" customHeight="1">
      <c r="B48" s="58" t="s">
        <v>96</v>
      </c>
      <c r="C48" s="58"/>
      <c r="D48" s="58"/>
      <c r="E48" s="58"/>
      <c r="F48" s="58"/>
      <c r="G48" s="39">
        <f>+I48-111327</f>
        <v>24666</v>
      </c>
      <c r="H48" s="39"/>
      <c r="I48" s="159">
        <f>238313-102320</f>
        <v>135993</v>
      </c>
    </row>
    <row r="49" spans="2:9" ht="15" customHeight="1">
      <c r="B49" s="58" t="s">
        <v>195</v>
      </c>
      <c r="C49" s="58"/>
      <c r="D49" s="58"/>
      <c r="E49" s="58"/>
      <c r="F49" s="58"/>
      <c r="G49" s="81">
        <f>+I49-3382</f>
        <v>1311</v>
      </c>
      <c r="H49" s="73"/>
      <c r="I49" s="65">
        <v>4693</v>
      </c>
    </row>
    <row r="50" spans="2:9" ht="15" customHeight="1">
      <c r="B50" s="2" t="s">
        <v>5</v>
      </c>
      <c r="C50" s="58"/>
      <c r="D50" s="58"/>
      <c r="E50" s="58"/>
      <c r="F50" s="58"/>
      <c r="G50" s="81">
        <f>+I50--823</f>
        <v>8732</v>
      </c>
      <c r="H50" s="73"/>
      <c r="I50" s="65">
        <v>7909</v>
      </c>
    </row>
    <row r="51" spans="2:9" ht="15" customHeight="1">
      <c r="B51" s="2" t="s">
        <v>354</v>
      </c>
      <c r="C51" s="58"/>
      <c r="D51" s="58"/>
      <c r="E51" s="58"/>
      <c r="F51" s="58"/>
      <c r="G51" s="81">
        <f>+I51-3242</f>
        <v>0</v>
      </c>
      <c r="H51" s="73"/>
      <c r="I51" s="65">
        <v>3242</v>
      </c>
    </row>
    <row r="52" spans="2:9" ht="15" customHeight="1" thickBot="1">
      <c r="B52" s="4"/>
      <c r="C52" s="76"/>
      <c r="D52" s="76"/>
      <c r="E52" s="4"/>
      <c r="F52" s="4"/>
      <c r="G52" s="179">
        <f>SUM(G48:G51)</f>
        <v>34709</v>
      </c>
      <c r="H52" s="73"/>
      <c r="I52" s="79">
        <f>SUM(I48:I51)</f>
        <v>151837</v>
      </c>
    </row>
    <row r="53" spans="2:9" ht="15" customHeight="1" thickTop="1">
      <c r="B53" s="4"/>
      <c r="C53" s="76"/>
      <c r="D53" s="76"/>
      <c r="E53" s="4"/>
      <c r="F53" s="4"/>
      <c r="G53" s="181"/>
      <c r="H53" s="73"/>
      <c r="I53" s="65"/>
    </row>
    <row r="54" spans="2:9" ht="15" customHeight="1">
      <c r="B54" s="4"/>
      <c r="C54" s="76"/>
      <c r="D54" s="76"/>
      <c r="E54" s="4"/>
      <c r="F54" s="4"/>
      <c r="G54" s="181"/>
      <c r="H54" s="73"/>
      <c r="I54" s="65"/>
    </row>
    <row r="55" spans="2:9" ht="15" customHeight="1">
      <c r="B55" s="4"/>
      <c r="C55" s="76"/>
      <c r="D55" s="76"/>
      <c r="E55" s="4"/>
      <c r="F55" s="4"/>
      <c r="G55" s="181"/>
      <c r="H55" s="73"/>
      <c r="I55" s="65"/>
    </row>
    <row r="56" spans="2:9" ht="15" customHeight="1">
      <c r="B56" s="4"/>
      <c r="C56" s="76"/>
      <c r="D56" s="76"/>
      <c r="E56" s="4"/>
      <c r="F56" s="4"/>
      <c r="G56" s="181"/>
      <c r="H56" s="73"/>
      <c r="I56" s="65"/>
    </row>
    <row r="57" spans="2:9" ht="15" customHeight="1">
      <c r="B57" s="4"/>
      <c r="C57" s="76"/>
      <c r="D57" s="76"/>
      <c r="E57" s="4"/>
      <c r="F57" s="4"/>
      <c r="G57" s="181"/>
      <c r="H57" s="73"/>
      <c r="I57" s="65"/>
    </row>
    <row r="58" spans="1:4" ht="15">
      <c r="A58" s="2" t="s">
        <v>399</v>
      </c>
      <c r="B58" s="2" t="s">
        <v>400</v>
      </c>
      <c r="C58" s="58"/>
      <c r="D58" s="58"/>
    </row>
    <row r="59" ht="15">
      <c r="B59" s="2" t="s">
        <v>333</v>
      </c>
    </row>
    <row r="61" spans="1:2" ht="15">
      <c r="A61" s="2" t="s">
        <v>124</v>
      </c>
      <c r="B61" s="2" t="s">
        <v>223</v>
      </c>
    </row>
    <row r="62" spans="2:3" ht="15">
      <c r="B62" s="55" t="s">
        <v>274</v>
      </c>
      <c r="C62" s="57"/>
    </row>
    <row r="63" ht="15">
      <c r="B63" s="55" t="s">
        <v>6</v>
      </c>
    </row>
    <row r="64" ht="15">
      <c r="B64" s="55"/>
    </row>
    <row r="65" spans="1:2" ht="15">
      <c r="A65" s="2" t="s">
        <v>123</v>
      </c>
      <c r="B65" s="2" t="s">
        <v>196</v>
      </c>
    </row>
    <row r="66" spans="2:9" ht="12.75" customHeight="1">
      <c r="B66" s="55"/>
      <c r="C66" s="57"/>
      <c r="D66" s="57"/>
      <c r="H66" s="27"/>
      <c r="I66" s="27"/>
    </row>
    <row r="67" spans="2:3" ht="15">
      <c r="B67" s="2" t="s">
        <v>434</v>
      </c>
      <c r="C67" s="2" t="s">
        <v>436</v>
      </c>
    </row>
    <row r="68" spans="7:9" ht="12" customHeight="1">
      <c r="G68" s="151"/>
      <c r="H68" s="152"/>
      <c r="I68" s="152"/>
    </row>
    <row r="69" spans="7:11" ht="12.75" customHeight="1">
      <c r="G69" s="27" t="s">
        <v>120</v>
      </c>
      <c r="H69" s="2"/>
      <c r="I69" s="27" t="s">
        <v>433</v>
      </c>
      <c r="J69" s="75"/>
      <c r="K69" s="75"/>
    </row>
    <row r="70" spans="7:11" ht="12.75" customHeight="1">
      <c r="G70" s="27" t="s">
        <v>121</v>
      </c>
      <c r="H70" s="2"/>
      <c r="I70" s="162" t="s">
        <v>398</v>
      </c>
      <c r="J70" s="75"/>
      <c r="K70" s="75"/>
    </row>
    <row r="71" spans="3:11" ht="12.75" customHeight="1">
      <c r="C71" s="97"/>
      <c r="G71" s="52" t="s">
        <v>73</v>
      </c>
      <c r="I71" s="75" t="s">
        <v>73</v>
      </c>
      <c r="J71" s="75"/>
      <c r="K71" s="75"/>
    </row>
    <row r="72" spans="9:11" ht="12.75" customHeight="1">
      <c r="I72" s="75"/>
      <c r="J72" s="75"/>
      <c r="K72" s="75"/>
    </row>
    <row r="73" spans="3:11" ht="12.75" customHeight="1" thickBot="1">
      <c r="C73" s="2" t="s">
        <v>287</v>
      </c>
      <c r="G73" s="180">
        <f>+I73-2396</f>
        <v>0</v>
      </c>
      <c r="I73" s="186">
        <f>2396</f>
        <v>2396</v>
      </c>
      <c r="J73" s="75"/>
      <c r="K73" s="75"/>
    </row>
    <row r="74" spans="9:11" ht="15" customHeight="1" thickTop="1">
      <c r="I74" s="75"/>
      <c r="J74" s="75"/>
      <c r="K74" s="75"/>
    </row>
    <row r="75" spans="2:3" ht="15">
      <c r="B75" s="2" t="s">
        <v>132</v>
      </c>
      <c r="C75" s="2" t="s">
        <v>435</v>
      </c>
    </row>
    <row r="76" spans="7:12" ht="15">
      <c r="G76" s="59"/>
      <c r="H76" s="2"/>
      <c r="I76" s="164" t="s">
        <v>73</v>
      </c>
      <c r="L76" s="59"/>
    </row>
    <row r="77" spans="2:12" ht="15.75" thickBot="1">
      <c r="B77" s="2" t="s">
        <v>133</v>
      </c>
      <c r="C77" s="2" t="s">
        <v>298</v>
      </c>
      <c r="G77" s="4"/>
      <c r="I77" s="187">
        <v>33757</v>
      </c>
      <c r="J77" s="68" t="s">
        <v>37</v>
      </c>
      <c r="L77" s="4"/>
    </row>
    <row r="78" spans="2:12" ht="16.5" thickBot="1" thickTop="1">
      <c r="B78" s="2" t="s">
        <v>134</v>
      </c>
      <c r="C78" s="2" t="s">
        <v>299</v>
      </c>
      <c r="G78" s="4"/>
      <c r="I78" s="188">
        <v>21840</v>
      </c>
      <c r="L78" s="4"/>
    </row>
    <row r="79" spans="2:12" ht="16.5" thickBot="1" thickTop="1">
      <c r="B79" s="2" t="s">
        <v>135</v>
      </c>
      <c r="C79" s="2" t="s">
        <v>300</v>
      </c>
      <c r="G79" s="4"/>
      <c r="H79" s="2"/>
      <c r="I79" s="187">
        <f>18095+3849</f>
        <v>21944</v>
      </c>
      <c r="L79" s="4"/>
    </row>
    <row r="80" spans="7:12" ht="15.75" thickTop="1">
      <c r="G80" s="4"/>
      <c r="H80" s="2"/>
      <c r="I80" s="165"/>
      <c r="L80" s="4"/>
    </row>
    <row r="81" spans="2:12" ht="15">
      <c r="B81" s="2" t="s">
        <v>52</v>
      </c>
      <c r="G81" s="4"/>
      <c r="H81" s="2"/>
      <c r="I81" s="165"/>
      <c r="L81" s="4"/>
    </row>
    <row r="82" spans="2:12" ht="15">
      <c r="B82" s="2" t="s">
        <v>458</v>
      </c>
      <c r="G82" s="4"/>
      <c r="H82" s="2"/>
      <c r="I82" s="165"/>
      <c r="L82" s="4"/>
    </row>
    <row r="83" spans="8:9" ht="15">
      <c r="H83" s="27"/>
      <c r="I83" s="2"/>
    </row>
    <row r="84" spans="1:2" ht="15">
      <c r="A84" s="2" t="s">
        <v>122</v>
      </c>
      <c r="B84" s="2" t="s">
        <v>33</v>
      </c>
    </row>
    <row r="85" ht="15">
      <c r="B85" s="2" t="s">
        <v>34</v>
      </c>
    </row>
    <row r="86" spans="2:4" ht="12.75" customHeight="1">
      <c r="B86" s="60"/>
      <c r="C86" s="60"/>
      <c r="D86" s="60"/>
    </row>
    <row r="87" spans="2:4" ht="15">
      <c r="B87" s="2" t="s">
        <v>11</v>
      </c>
      <c r="C87" s="2" t="s">
        <v>264</v>
      </c>
      <c r="D87" s="60"/>
    </row>
    <row r="88" spans="3:4" ht="15">
      <c r="C88" s="2" t="s">
        <v>191</v>
      </c>
      <c r="D88" s="60"/>
    </row>
    <row r="89" ht="12.75" customHeight="1">
      <c r="D89" s="60"/>
    </row>
    <row r="90" spans="1:9" ht="15">
      <c r="A90" s="58"/>
      <c r="C90" s="2" t="s">
        <v>244</v>
      </c>
      <c r="H90" s="27"/>
      <c r="I90" s="27"/>
    </row>
    <row r="91" spans="1:9" ht="15">
      <c r="A91" s="58"/>
      <c r="C91" s="2" t="s">
        <v>245</v>
      </c>
      <c r="H91" s="27"/>
      <c r="I91" s="27"/>
    </row>
    <row r="92" spans="1:9" ht="15">
      <c r="A92" s="58"/>
      <c r="C92" s="2" t="s">
        <v>437</v>
      </c>
      <c r="H92" s="27"/>
      <c r="I92" s="27"/>
    </row>
    <row r="93" spans="1:9" ht="15">
      <c r="A93" s="58"/>
      <c r="C93" s="2" t="s">
        <v>268</v>
      </c>
      <c r="H93" s="27"/>
      <c r="I93" s="27"/>
    </row>
    <row r="94" spans="1:9" ht="15">
      <c r="A94" s="58"/>
      <c r="C94" s="2" t="s">
        <v>269</v>
      </c>
      <c r="H94" s="27"/>
      <c r="I94" s="27"/>
    </row>
    <row r="95" spans="1:9" ht="15">
      <c r="A95" s="58"/>
      <c r="C95" s="2" t="s">
        <v>438</v>
      </c>
      <c r="H95" s="27"/>
      <c r="I95" s="27"/>
    </row>
    <row r="96" spans="1:9" ht="15">
      <c r="A96" s="58"/>
      <c r="C96" s="2" t="s">
        <v>270</v>
      </c>
      <c r="H96" s="27"/>
      <c r="I96" s="27"/>
    </row>
    <row r="97" spans="1:9" ht="15">
      <c r="A97" s="58"/>
      <c r="C97" s="2" t="s">
        <v>197</v>
      </c>
      <c r="H97" s="27"/>
      <c r="I97" s="27"/>
    </row>
    <row r="98" spans="1:9" ht="15">
      <c r="A98" s="58"/>
      <c r="H98" s="27"/>
      <c r="I98" s="27"/>
    </row>
    <row r="99" spans="3:9" ht="15">
      <c r="C99" s="2" t="s">
        <v>198</v>
      </c>
      <c r="H99" s="27"/>
      <c r="I99" s="27"/>
    </row>
    <row r="100" spans="1:9" ht="15">
      <c r="A100" s="58"/>
      <c r="C100" s="2" t="s">
        <v>284</v>
      </c>
      <c r="H100" s="27"/>
      <c r="I100" s="27"/>
    </row>
    <row r="101" spans="1:9" ht="15">
      <c r="A101" s="58"/>
      <c r="C101" s="2" t="s">
        <v>283</v>
      </c>
      <c r="H101" s="27"/>
      <c r="I101" s="27"/>
    </row>
    <row r="102" spans="1:9" ht="15">
      <c r="A102" s="58"/>
      <c r="C102" s="2" t="s">
        <v>7</v>
      </c>
      <c r="H102" s="27"/>
      <c r="I102" s="27"/>
    </row>
    <row r="103" spans="1:9" ht="15">
      <c r="A103" s="58"/>
      <c r="C103" s="2" t="s">
        <v>8</v>
      </c>
      <c r="H103" s="27"/>
      <c r="I103" s="27"/>
    </row>
    <row r="104" spans="1:9" ht="15">
      <c r="A104" s="58"/>
      <c r="C104" s="2" t="s">
        <v>10</v>
      </c>
      <c r="H104" s="27"/>
      <c r="I104" s="27"/>
    </row>
    <row r="105" spans="1:9" ht="15">
      <c r="A105" s="58"/>
      <c r="C105" s="2" t="s">
        <v>9</v>
      </c>
      <c r="H105" s="27"/>
      <c r="I105" s="27"/>
    </row>
    <row r="106" spans="1:9" ht="15">
      <c r="A106" s="58"/>
      <c r="I106" s="27"/>
    </row>
    <row r="107" spans="1:9" ht="15">
      <c r="A107" s="58"/>
      <c r="I107" s="27"/>
    </row>
    <row r="108" spans="1:9" ht="15">
      <c r="A108" s="58"/>
      <c r="I108" s="27"/>
    </row>
    <row r="109" spans="1:9" ht="15">
      <c r="A109" s="58"/>
      <c r="I109" s="27"/>
    </row>
    <row r="110" spans="1:9" ht="15">
      <c r="A110" s="58"/>
      <c r="I110" s="27"/>
    </row>
    <row r="111" spans="1:9" ht="15">
      <c r="A111" s="2" t="s">
        <v>122</v>
      </c>
      <c r="B111" s="2" t="s">
        <v>11</v>
      </c>
      <c r="C111" s="2" t="s">
        <v>278</v>
      </c>
      <c r="H111" s="27"/>
      <c r="I111" s="27"/>
    </row>
    <row r="112" spans="3:9" ht="15">
      <c r="C112" s="2" t="s">
        <v>279</v>
      </c>
      <c r="H112" s="27"/>
      <c r="I112" s="27"/>
    </row>
    <row r="113" spans="3:9" ht="15">
      <c r="C113" s="2" t="s">
        <v>280</v>
      </c>
      <c r="H113" s="27"/>
      <c r="I113" s="27"/>
    </row>
    <row r="114" spans="3:9" ht="15">
      <c r="C114" s="2" t="s">
        <v>282</v>
      </c>
      <c r="H114" s="27"/>
      <c r="I114" s="27"/>
    </row>
    <row r="115" spans="3:9" ht="15">
      <c r="C115" s="2" t="s">
        <v>294</v>
      </c>
      <c r="H115" s="27"/>
      <c r="I115" s="27"/>
    </row>
    <row r="116" spans="3:9" ht="15">
      <c r="C116" s="2" t="s">
        <v>295</v>
      </c>
      <c r="H116" s="27"/>
      <c r="I116" s="27"/>
    </row>
    <row r="117" spans="3:9" ht="15">
      <c r="C117" s="2" t="s">
        <v>360</v>
      </c>
      <c r="H117" s="27"/>
      <c r="I117" s="27"/>
    </row>
    <row r="118" spans="3:9" ht="15">
      <c r="C118" s="2" t="s">
        <v>296</v>
      </c>
      <c r="H118" s="27"/>
      <c r="I118" s="27"/>
    </row>
    <row r="119" spans="8:13" ht="6" customHeight="1">
      <c r="H119" s="27"/>
      <c r="I119" s="27"/>
      <c r="L119" s="184"/>
      <c r="M119" s="39"/>
    </row>
    <row r="120" spans="3:13" ht="15">
      <c r="C120" s="2" t="s">
        <v>13</v>
      </c>
      <c r="H120" s="27"/>
      <c r="I120" s="27"/>
      <c r="L120" s="184"/>
      <c r="M120" s="39"/>
    </row>
    <row r="121" spans="3:13" ht="15">
      <c r="C121" s="2" t="s">
        <v>439</v>
      </c>
      <c r="F121" s="163"/>
      <c r="H121" s="163"/>
      <c r="I121" s="27"/>
      <c r="L121" s="184"/>
      <c r="M121" s="39"/>
    </row>
    <row r="122" spans="3:13" ht="15">
      <c r="C122" s="2" t="s">
        <v>440</v>
      </c>
      <c r="F122" s="163"/>
      <c r="H122" s="163"/>
      <c r="I122" s="27"/>
      <c r="L122" s="184"/>
      <c r="M122" s="39"/>
    </row>
    <row r="123" spans="3:13" ht="15">
      <c r="C123" s="2" t="s">
        <v>14</v>
      </c>
      <c r="F123" s="163"/>
      <c r="H123" s="163"/>
      <c r="I123" s="27"/>
      <c r="L123" s="184"/>
      <c r="M123" s="39"/>
    </row>
    <row r="124" spans="3:13" ht="15">
      <c r="C124" s="2" t="s">
        <v>15</v>
      </c>
      <c r="F124" s="163"/>
      <c r="G124" s="163"/>
      <c r="H124" s="162"/>
      <c r="I124" s="27"/>
      <c r="L124" s="184"/>
      <c r="M124" s="39"/>
    </row>
    <row r="125" spans="3:13" ht="15">
      <c r="C125" s="2" t="s">
        <v>16</v>
      </c>
      <c r="D125" s="185"/>
      <c r="E125" s="153"/>
      <c r="F125" s="153"/>
      <c r="G125" s="153"/>
      <c r="H125" s="166"/>
      <c r="I125" s="166"/>
      <c r="J125" s="152"/>
      <c r="L125" s="58"/>
      <c r="M125" s="172"/>
    </row>
    <row r="126" spans="4:13" ht="7.5" customHeight="1">
      <c r="D126" s="185"/>
      <c r="E126" s="153"/>
      <c r="F126" s="153"/>
      <c r="G126" s="153"/>
      <c r="H126" s="166"/>
      <c r="I126" s="166"/>
      <c r="J126" s="152"/>
      <c r="L126" s="58"/>
      <c r="M126" s="172"/>
    </row>
    <row r="127" spans="2:13" ht="15">
      <c r="B127" s="2" t="s">
        <v>12</v>
      </c>
      <c r="C127" s="2" t="s">
        <v>17</v>
      </c>
      <c r="D127" s="185"/>
      <c r="E127" s="153"/>
      <c r="F127" s="153"/>
      <c r="G127" s="153"/>
      <c r="H127" s="166"/>
      <c r="I127" s="166"/>
      <c r="J127" s="152"/>
      <c r="L127" s="58"/>
      <c r="M127" s="172"/>
    </row>
    <row r="128" spans="3:13" ht="15">
      <c r="C128" s="2" t="s">
        <v>18</v>
      </c>
      <c r="D128" s="185"/>
      <c r="E128" s="153"/>
      <c r="F128" s="153"/>
      <c r="G128" s="153"/>
      <c r="H128" s="166"/>
      <c r="I128" s="166"/>
      <c r="J128" s="152"/>
      <c r="L128" s="58"/>
      <c r="M128" s="172"/>
    </row>
    <row r="129" spans="3:13" ht="15">
      <c r="C129" s="2" t="s">
        <v>19</v>
      </c>
      <c r="D129" s="185"/>
      <c r="E129" s="153"/>
      <c r="F129" s="153"/>
      <c r="G129" s="153"/>
      <c r="H129" s="166"/>
      <c r="I129" s="166"/>
      <c r="J129" s="152"/>
      <c r="L129" s="58"/>
      <c r="M129" s="172"/>
    </row>
    <row r="130" spans="3:13" ht="15">
      <c r="C130" s="2" t="s">
        <v>471</v>
      </c>
      <c r="D130" s="185"/>
      <c r="E130" s="153"/>
      <c r="F130" s="153"/>
      <c r="G130" s="153"/>
      <c r="H130" s="166"/>
      <c r="I130" s="166"/>
      <c r="J130" s="152"/>
      <c r="L130" s="58"/>
      <c r="M130" s="172"/>
    </row>
    <row r="131" spans="4:13" ht="8.25" customHeight="1">
      <c r="D131" s="185"/>
      <c r="E131" s="153"/>
      <c r="F131" s="153"/>
      <c r="G131" s="153"/>
      <c r="H131" s="166"/>
      <c r="I131" s="166"/>
      <c r="J131" s="152"/>
      <c r="L131" s="58"/>
      <c r="M131" s="172"/>
    </row>
    <row r="132" spans="3:13" ht="15">
      <c r="C132" s="2" t="s">
        <v>30</v>
      </c>
      <c r="D132" s="185"/>
      <c r="E132" s="153"/>
      <c r="F132" s="153"/>
      <c r="G132" s="153"/>
      <c r="H132" s="166"/>
      <c r="I132" s="166"/>
      <c r="J132" s="152"/>
      <c r="L132" s="58"/>
      <c r="M132" s="172"/>
    </row>
    <row r="133" spans="3:13" ht="15">
      <c r="C133" s="2" t="s">
        <v>31</v>
      </c>
      <c r="D133" s="185"/>
      <c r="E133" s="153"/>
      <c r="F133" s="153"/>
      <c r="G133" s="153"/>
      <c r="H133" s="166"/>
      <c r="I133" s="166"/>
      <c r="J133" s="152"/>
      <c r="L133" s="58"/>
      <c r="M133" s="172"/>
    </row>
    <row r="134" spans="3:13" ht="15">
      <c r="C134" s="2" t="s">
        <v>472</v>
      </c>
      <c r="D134" s="185"/>
      <c r="E134" s="153"/>
      <c r="F134" s="153"/>
      <c r="G134" s="153"/>
      <c r="H134" s="166"/>
      <c r="I134" s="166"/>
      <c r="J134" s="152"/>
      <c r="L134" s="58"/>
      <c r="M134" s="172"/>
    </row>
    <row r="135" spans="1:13" ht="10.5" customHeight="1">
      <c r="A135" s="58"/>
      <c r="H135" s="2"/>
      <c r="I135" s="2"/>
      <c r="J135" s="2"/>
      <c r="M135" s="39"/>
    </row>
    <row r="136" spans="1:12" ht="15">
      <c r="A136" s="2" t="s">
        <v>125</v>
      </c>
      <c r="B136" s="2" t="s">
        <v>65</v>
      </c>
      <c r="E136" s="59"/>
      <c r="F136" s="59"/>
      <c r="G136" s="27"/>
      <c r="I136" s="27"/>
      <c r="J136" s="27"/>
      <c r="K136" s="69"/>
      <c r="L136" s="59"/>
    </row>
    <row r="137" spans="2:12" ht="15">
      <c r="B137" s="2" t="s">
        <v>66</v>
      </c>
      <c r="E137" s="59"/>
      <c r="F137" s="161"/>
      <c r="G137" s="162"/>
      <c r="I137" s="27"/>
      <c r="J137" s="27"/>
      <c r="K137" s="69"/>
      <c r="L137" s="59"/>
    </row>
    <row r="138" spans="2:12" ht="15">
      <c r="B138" s="2" t="s">
        <v>68</v>
      </c>
      <c r="E138" s="59"/>
      <c r="F138" s="59"/>
      <c r="G138" s="27"/>
      <c r="I138" s="162"/>
      <c r="J138" s="162"/>
      <c r="K138" s="69"/>
      <c r="L138" s="59"/>
    </row>
    <row r="139" spans="2:12" ht="15">
      <c r="B139" s="2" t="s">
        <v>67</v>
      </c>
      <c r="E139" s="59"/>
      <c r="F139" s="59"/>
      <c r="G139" s="27"/>
      <c r="I139" s="162"/>
      <c r="J139" s="162"/>
      <c r="K139" s="69"/>
      <c r="L139" s="59"/>
    </row>
    <row r="140" spans="5:12" ht="10.5" customHeight="1">
      <c r="E140" s="59"/>
      <c r="F140" s="59"/>
      <c r="G140" s="27"/>
      <c r="I140" s="27"/>
      <c r="J140" s="162"/>
      <c r="K140" s="69"/>
      <c r="L140" s="59"/>
    </row>
    <row r="141" spans="1:2" ht="15">
      <c r="A141" s="2" t="s">
        <v>126</v>
      </c>
      <c r="B141" s="2" t="s">
        <v>229</v>
      </c>
    </row>
    <row r="142" ht="15">
      <c r="B142" s="2" t="s">
        <v>230</v>
      </c>
    </row>
    <row r="143" ht="11.25" customHeight="1"/>
    <row r="144" spans="1:2" ht="15">
      <c r="A144" s="2" t="s">
        <v>127</v>
      </c>
      <c r="B144" s="2" t="s">
        <v>228</v>
      </c>
    </row>
    <row r="145" ht="15">
      <c r="B145" s="2" t="s">
        <v>99</v>
      </c>
    </row>
    <row r="146" ht="10.5" customHeight="1"/>
    <row r="147" spans="1:7" ht="15">
      <c r="A147" s="2" t="s">
        <v>128</v>
      </c>
      <c r="B147" s="2" t="s">
        <v>20</v>
      </c>
      <c r="G147" s="163"/>
    </row>
    <row r="148" spans="2:10" ht="15">
      <c r="B148" s="2" t="s">
        <v>22</v>
      </c>
      <c r="J148" s="28"/>
    </row>
    <row r="149" spans="2:10" ht="15">
      <c r="B149" s="2" t="s">
        <v>21</v>
      </c>
      <c r="J149" s="28"/>
    </row>
    <row r="150" ht="9" customHeight="1">
      <c r="J150" s="28"/>
    </row>
    <row r="151" spans="2:6" ht="15">
      <c r="B151" s="169" t="s">
        <v>69</v>
      </c>
      <c r="F151" s="163"/>
    </row>
    <row r="152" spans="2:6" ht="15">
      <c r="B152" s="169" t="s">
        <v>32</v>
      </c>
      <c r="F152" s="163"/>
    </row>
    <row r="153" spans="2:6" ht="15">
      <c r="B153" s="169" t="s">
        <v>23</v>
      </c>
      <c r="F153" s="163"/>
    </row>
    <row r="154" ht="15">
      <c r="B154" s="169" t="s">
        <v>62</v>
      </c>
    </row>
    <row r="155" spans="2:8" ht="15">
      <c r="B155" s="2" t="s">
        <v>63</v>
      </c>
      <c r="E155" s="163"/>
      <c r="H155" s="28"/>
    </row>
    <row r="156" spans="2:8" ht="15">
      <c r="B156" s="2" t="s">
        <v>64</v>
      </c>
      <c r="E156" s="163"/>
      <c r="H156" s="28"/>
    </row>
    <row r="157" ht="8.25" customHeight="1"/>
    <row r="158" spans="2:12" ht="15" customHeight="1">
      <c r="B158" s="55" t="s">
        <v>353</v>
      </c>
      <c r="C158" s="39"/>
      <c r="D158" s="39"/>
      <c r="L158" s="58"/>
    </row>
    <row r="159" spans="2:12" ht="15" customHeight="1">
      <c r="B159" s="55" t="s">
        <v>24</v>
      </c>
      <c r="C159" s="39"/>
      <c r="D159" s="39"/>
      <c r="E159" s="163"/>
      <c r="L159" s="58"/>
    </row>
    <row r="160" spans="2:6" ht="15" customHeight="1">
      <c r="B160" s="2" t="s">
        <v>470</v>
      </c>
      <c r="F160" s="163"/>
    </row>
    <row r="161" spans="2:8" ht="15" customHeight="1">
      <c r="B161" s="2" t="s">
        <v>473</v>
      </c>
      <c r="H161" s="28"/>
    </row>
    <row r="162" ht="15" customHeight="1">
      <c r="B162" s="163" t="s">
        <v>474</v>
      </c>
    </row>
    <row r="163" ht="15" customHeight="1"/>
    <row r="164" ht="15" customHeight="1"/>
    <row r="165" ht="15" customHeight="1"/>
    <row r="166" spans="1:2" ht="15">
      <c r="A166" s="2" t="s">
        <v>129</v>
      </c>
      <c r="B166" s="2" t="s">
        <v>56</v>
      </c>
    </row>
    <row r="167" spans="9:11" ht="5.25" customHeight="1">
      <c r="I167" s="138"/>
      <c r="J167" s="139"/>
      <c r="K167" s="80"/>
    </row>
    <row r="168" spans="7:11" ht="15" customHeight="1">
      <c r="G168" s="206" t="s">
        <v>219</v>
      </c>
      <c r="H168" s="206"/>
      <c r="I168" s="206"/>
      <c r="J168" s="206"/>
      <c r="K168" s="80"/>
    </row>
    <row r="169" spans="7:11" ht="15" customHeight="1">
      <c r="G169" s="193" t="s">
        <v>200</v>
      </c>
      <c r="H169" s="193"/>
      <c r="I169" s="193" t="s">
        <v>57</v>
      </c>
      <c r="J169" s="193"/>
      <c r="K169" s="80"/>
    </row>
    <row r="170" spans="7:11" ht="15" customHeight="1">
      <c r="G170" s="193" t="s">
        <v>199</v>
      </c>
      <c r="H170" s="193"/>
      <c r="I170" s="193" t="s">
        <v>201</v>
      </c>
      <c r="J170" s="193"/>
      <c r="K170" s="80"/>
    </row>
    <row r="171" spans="7:11" ht="15" customHeight="1">
      <c r="G171" s="27" t="str">
        <f>+PL!F10</f>
        <v>30-4-2005</v>
      </c>
      <c r="H171" s="27" t="str">
        <f>+PL!G10</f>
        <v>30-4-2004</v>
      </c>
      <c r="I171" s="27" t="str">
        <f>+G171</f>
        <v>30-4-2005</v>
      </c>
      <c r="J171" s="27" t="str">
        <f>+H171</f>
        <v>30-4-2004</v>
      </c>
      <c r="K171" s="80"/>
    </row>
    <row r="172" spans="2:11" ht="15" customHeight="1">
      <c r="B172" s="2" t="s">
        <v>53</v>
      </c>
      <c r="G172" s="165">
        <f>+PL!F29</f>
        <v>79344</v>
      </c>
      <c r="H172" s="81">
        <f>+PL!G29</f>
        <v>-95456</v>
      </c>
      <c r="K172" s="80"/>
    </row>
    <row r="173" spans="2:11" ht="15" customHeight="1">
      <c r="B173" s="2" t="s">
        <v>209</v>
      </c>
      <c r="G173" s="65"/>
      <c r="H173" s="81"/>
      <c r="K173" s="80"/>
    </row>
    <row r="174" spans="2:11" ht="15" customHeight="1">
      <c r="B174" s="2" t="s">
        <v>210</v>
      </c>
      <c r="G174" s="65">
        <v>2923</v>
      </c>
      <c r="H174" s="81">
        <v>6657</v>
      </c>
      <c r="K174" s="80"/>
    </row>
    <row r="175" spans="2:11" ht="15" customHeight="1" thickBot="1">
      <c r="B175" s="2" t="s">
        <v>54</v>
      </c>
      <c r="G175" s="79">
        <f>+G172+G174</f>
        <v>82267</v>
      </c>
      <c r="H175" s="111">
        <f>+H172+H174</f>
        <v>-88799</v>
      </c>
      <c r="K175" s="80"/>
    </row>
    <row r="176" spans="2:11" ht="15" customHeight="1" thickBot="1" thickTop="1">
      <c r="B176" s="2" t="s">
        <v>55</v>
      </c>
      <c r="G176" s="39"/>
      <c r="H176" s="73"/>
      <c r="I176" s="135">
        <f>+G172/G179*100</f>
        <v>7.301149408364337</v>
      </c>
      <c r="J176" s="190">
        <f>+H172/H179*100</f>
        <v>-10.154418303824077</v>
      </c>
      <c r="K176" s="80"/>
    </row>
    <row r="177" spans="9:11" ht="15" customHeight="1" thickTop="1">
      <c r="I177" s="138"/>
      <c r="J177" s="139"/>
      <c r="K177" s="80"/>
    </row>
    <row r="178" spans="2:11" ht="15" customHeight="1">
      <c r="B178" s="2" t="s">
        <v>206</v>
      </c>
      <c r="G178" s="39"/>
      <c r="H178" s="73"/>
      <c r="I178" s="27"/>
      <c r="J178" s="27"/>
      <c r="K178" s="80"/>
    </row>
    <row r="179" spans="2:11" ht="15" customHeight="1">
      <c r="B179" s="2" t="s">
        <v>207</v>
      </c>
      <c r="G179" s="39">
        <v>1086733</v>
      </c>
      <c r="H179" s="73">
        <v>940044</v>
      </c>
      <c r="I179" s="27"/>
      <c r="J179" s="27"/>
      <c r="K179" s="80"/>
    </row>
    <row r="180" spans="2:11" ht="15" customHeight="1">
      <c r="B180" s="2" t="s">
        <v>212</v>
      </c>
      <c r="G180" s="182">
        <v>139408</v>
      </c>
      <c r="H180" s="132">
        <v>299976</v>
      </c>
      <c r="I180" s="80"/>
      <c r="K180" s="80"/>
    </row>
    <row r="181" spans="2:11" ht="15" customHeight="1">
      <c r="B181" s="2" t="s">
        <v>204</v>
      </c>
      <c r="G181" s="65"/>
      <c r="H181" s="81"/>
      <c r="I181" s="80"/>
      <c r="K181" s="80"/>
    </row>
    <row r="182" spans="2:11" ht="15" customHeight="1" thickBot="1">
      <c r="B182" s="2" t="s">
        <v>208</v>
      </c>
      <c r="G182" s="78">
        <f>SUM(G179:G180)</f>
        <v>1226141</v>
      </c>
      <c r="H182" s="78">
        <f>SUM(H179:H180)</f>
        <v>1240020</v>
      </c>
      <c r="I182" s="80"/>
      <c r="K182" s="80"/>
    </row>
    <row r="183" spans="2:11" ht="15" customHeight="1" thickBot="1" thickTop="1">
      <c r="B183" s="2" t="s">
        <v>58</v>
      </c>
      <c r="I183" s="136">
        <f>+G175/G182*100</f>
        <v>6.709424120064495</v>
      </c>
      <c r="J183" s="134">
        <f>+H175/H182*100</f>
        <v>-7.161094175900389</v>
      </c>
      <c r="K183" s="80"/>
    </row>
    <row r="184" spans="9:11" ht="15" customHeight="1" thickTop="1">
      <c r="I184" s="138"/>
      <c r="J184" s="139"/>
      <c r="K184" s="80"/>
    </row>
    <row r="185" spans="9:11" ht="15" customHeight="1">
      <c r="I185" s="138"/>
      <c r="J185" s="139"/>
      <c r="K185" s="80"/>
    </row>
    <row r="186" spans="7:10" ht="15">
      <c r="G186" s="206" t="s">
        <v>390</v>
      </c>
      <c r="H186" s="206"/>
      <c r="I186" s="206"/>
      <c r="J186" s="206"/>
    </row>
    <row r="187" spans="7:10" ht="15">
      <c r="G187" s="193" t="s">
        <v>200</v>
      </c>
      <c r="H187" s="193"/>
      <c r="I187" s="193" t="s">
        <v>202</v>
      </c>
      <c r="J187" s="193"/>
    </row>
    <row r="188" spans="7:10" ht="15">
      <c r="G188" s="193" t="s">
        <v>199</v>
      </c>
      <c r="H188" s="193"/>
      <c r="I188" s="193" t="s">
        <v>201</v>
      </c>
      <c r="J188" s="193"/>
    </row>
    <row r="189" spans="7:10" ht="15">
      <c r="G189" s="27" t="str">
        <f>+PL!H10</f>
        <v>30-4-2005</v>
      </c>
      <c r="H189" s="27" t="str">
        <f>+PL!I10</f>
        <v>30-4-2004</v>
      </c>
      <c r="I189" s="27" t="str">
        <f>+G189</f>
        <v>30-4-2005</v>
      </c>
      <c r="J189" s="27" t="str">
        <f>+H189</f>
        <v>30-4-2004</v>
      </c>
    </row>
    <row r="190" spans="2:8" ht="15">
      <c r="B190" s="2" t="s">
        <v>70</v>
      </c>
      <c r="G190" s="165">
        <f>+PL!H29</f>
        <v>335055</v>
      </c>
      <c r="H190" s="81">
        <f>+PL!I29</f>
        <v>138039</v>
      </c>
    </row>
    <row r="191" spans="2:8" ht="15">
      <c r="B191" s="2" t="s">
        <v>209</v>
      </c>
      <c r="G191" s="65"/>
      <c r="H191" s="81"/>
    </row>
    <row r="192" spans="2:8" ht="15">
      <c r="B192" s="2" t="s">
        <v>210</v>
      </c>
      <c r="G192" s="65">
        <f>G198*0.086</f>
        <v>11989.088</v>
      </c>
      <c r="H192" s="81">
        <v>26998</v>
      </c>
    </row>
    <row r="193" spans="2:8" ht="15.75" thickBot="1">
      <c r="B193" s="2" t="s">
        <v>211</v>
      </c>
      <c r="G193" s="79">
        <f>+G190+G192</f>
        <v>347044.088</v>
      </c>
      <c r="H193" s="111">
        <f>+H190+H192</f>
        <v>165037</v>
      </c>
    </row>
    <row r="194" spans="2:10" ht="16.5" thickBot="1" thickTop="1">
      <c r="B194" s="2" t="s">
        <v>203</v>
      </c>
      <c r="G194" s="39"/>
      <c r="H194" s="73"/>
      <c r="I194" s="135">
        <f>+G190/G197*100</f>
        <v>33.2604040823174</v>
      </c>
      <c r="J194" s="133">
        <f>+H190/H197*100</f>
        <v>16.333656758803482</v>
      </c>
    </row>
    <row r="195" spans="7:8" ht="15.75" thickTop="1">
      <c r="G195" s="39"/>
      <c r="H195" s="73"/>
    </row>
    <row r="196" spans="2:11" ht="15">
      <c r="B196" s="2" t="s">
        <v>206</v>
      </c>
      <c r="G196" s="39"/>
      <c r="H196" s="73"/>
      <c r="I196" s="27"/>
      <c r="J196" s="27"/>
      <c r="K196" s="27"/>
    </row>
    <row r="197" spans="2:11" ht="15">
      <c r="B197" s="2" t="s">
        <v>207</v>
      </c>
      <c r="G197" s="39">
        <v>1007369</v>
      </c>
      <c r="H197" s="73">
        <v>845120</v>
      </c>
      <c r="I197" s="27"/>
      <c r="J197" s="27"/>
      <c r="K197" s="27"/>
    </row>
    <row r="198" spans="2:11" ht="15">
      <c r="B198" s="2" t="s">
        <v>452</v>
      </c>
      <c r="G198" s="44">
        <v>139408</v>
      </c>
      <c r="H198" s="132">
        <v>313929</v>
      </c>
      <c r="I198" s="80"/>
      <c r="K198" s="80"/>
    </row>
    <row r="199" spans="2:11" ht="15">
      <c r="B199" s="2" t="s">
        <v>204</v>
      </c>
      <c r="G199" s="65"/>
      <c r="H199" s="81"/>
      <c r="I199" s="80"/>
      <c r="K199" s="80"/>
    </row>
    <row r="200" spans="2:11" ht="15.75" thickBot="1">
      <c r="B200" s="2" t="s">
        <v>208</v>
      </c>
      <c r="G200" s="78">
        <f>SUM(G197:G198)</f>
        <v>1146777</v>
      </c>
      <c r="H200" s="78">
        <f>SUM(H197:H198)</f>
        <v>1159049</v>
      </c>
      <c r="I200" s="80"/>
      <c r="K200" s="80"/>
    </row>
    <row r="201" spans="2:11" ht="16.5" thickBot="1" thickTop="1">
      <c r="B201" s="2" t="s">
        <v>205</v>
      </c>
      <c r="I201" s="136">
        <f>+G193/G200*100</f>
        <v>30.26256089893676</v>
      </c>
      <c r="J201" s="134">
        <f>+H193/H200*100</f>
        <v>14.239001112118643</v>
      </c>
      <c r="K201" s="80"/>
    </row>
    <row r="202" spans="9:11" ht="15.75" thickTop="1">
      <c r="I202" s="138"/>
      <c r="J202" s="139"/>
      <c r="K202" s="80"/>
    </row>
    <row r="203" spans="9:11" ht="15">
      <c r="I203" s="138"/>
      <c r="J203" s="139"/>
      <c r="K203" s="80"/>
    </row>
    <row r="204" spans="1:11" ht="24" customHeight="1">
      <c r="A204" s="2" t="s">
        <v>143</v>
      </c>
      <c r="B204" s="2" t="s">
        <v>144</v>
      </c>
      <c r="I204" s="80"/>
      <c r="K204" s="80"/>
    </row>
    <row r="218" ht="15">
      <c r="J218" s="27"/>
    </row>
  </sheetData>
  <mergeCells count="10">
    <mergeCell ref="G168:J168"/>
    <mergeCell ref="G169:H169"/>
    <mergeCell ref="I169:J169"/>
    <mergeCell ref="G170:H170"/>
    <mergeCell ref="I170:J170"/>
    <mergeCell ref="G186:J186"/>
    <mergeCell ref="G187:H187"/>
    <mergeCell ref="I187:J187"/>
    <mergeCell ref="G188:H188"/>
    <mergeCell ref="I188:J188"/>
  </mergeCells>
  <printOptions/>
  <pageMargins left="0.68" right="0.08" top="0.86" bottom="0.81" header="0.5" footer="0.5"/>
  <pageSetup firstPageNumber="9" useFirstPageNumber="1" horizontalDpi="600" verticalDpi="600" orientation="portrait" paperSize="9" scale="95" r:id="rId1"/>
  <headerFooter alignWithMargins="0">
    <oddHeader>&amp;R&amp;"Arial,Bold"Berjaya Sports Toto Berhad&amp;U
&amp;9&amp;U(&amp;"Arial,Regular"Company No. 9109-K)
Quarterly Report 30-4-2005</oddHeader>
    <oddFooter>&amp;R&amp;"Arial,Bold"    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SCWong</cp:lastModifiedBy>
  <cp:lastPrinted>2005-06-13T09:24:54Z</cp:lastPrinted>
  <dcterms:created xsi:type="dcterms:W3CDTF">1996-10-14T23:33:28Z</dcterms:created>
  <dcterms:modified xsi:type="dcterms:W3CDTF">2005-06-13T09:26:23Z</dcterms:modified>
  <cp:category/>
  <cp:version/>
  <cp:contentType/>
  <cp:contentStatus/>
</cp:coreProperties>
</file>