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55" windowWidth="9720" windowHeight="7320" activeTab="6"/>
  </bookViews>
  <sheets>
    <sheet name="PL" sheetId="1" r:id="rId1"/>
    <sheet name="Cover" sheetId="2" r:id="rId2"/>
    <sheet name="BS" sheetId="3" r:id="rId3"/>
    <sheet name="SICE" sheetId="4" r:id="rId4"/>
    <sheet name="CF" sheetId="5" r:id="rId5"/>
    <sheet name="Notes" sheetId="6" r:id="rId6"/>
    <sheet name="Notes (2)" sheetId="7" r:id="rId7"/>
  </sheets>
  <definedNames>
    <definedName name="_xlnm.Print_Area" localSheetId="2">'BS'!$A$1:$I$68</definedName>
    <definedName name="_xlnm.Print_Area" localSheetId="4">'CF'!$A$1:$J$61</definedName>
    <definedName name="_xlnm.Print_Area" localSheetId="5">'Notes'!$A$1:$P$161</definedName>
    <definedName name="_xlnm.Print_Area" localSheetId="6">'Notes (2)'!$A$1:$K$207</definedName>
    <definedName name="_xlnm.Print_Area" localSheetId="0">'PL'!$A$1:$I$54</definedName>
    <definedName name="_xlnm.Print_Area" localSheetId="3">'SICE'!$A$1:$K$55</definedName>
  </definedNames>
  <calcPr fullCalcOnLoad="1"/>
</workbook>
</file>

<file path=xl/sharedStrings.xml><?xml version="1.0" encoding="utf-8"?>
<sst xmlns="http://schemas.openxmlformats.org/spreadsheetml/2006/main" count="509" uniqueCount="422">
  <si>
    <t>3 months ended</t>
  </si>
  <si>
    <t>RM'000</t>
  </si>
  <si>
    <t>REVENUE</t>
  </si>
  <si>
    <t>Finance costs</t>
  </si>
  <si>
    <t>PROFIT BEFORE TAXATION</t>
  </si>
  <si>
    <t>TAXATION</t>
  </si>
  <si>
    <t>PROFIT AFTER TAXATION</t>
  </si>
  <si>
    <t xml:space="preserve">  -Basic</t>
  </si>
  <si>
    <t xml:space="preserve"> -Diluted</t>
  </si>
  <si>
    <t xml:space="preserve"> </t>
  </si>
  <si>
    <t>CURRENT ASSETS</t>
  </si>
  <si>
    <t>Cash and bank balances</t>
  </si>
  <si>
    <t>CURRENT LIABILITIES</t>
  </si>
  <si>
    <t>Short term borrowings</t>
  </si>
  <si>
    <t>Taxation</t>
  </si>
  <si>
    <t>NET CURRENT ASSETS</t>
  </si>
  <si>
    <t>FINANCED BY:-</t>
  </si>
  <si>
    <t>SHARE CAPITAL</t>
  </si>
  <si>
    <t>Non-</t>
  </si>
  <si>
    <t>Distributable</t>
  </si>
  <si>
    <t>Total</t>
  </si>
  <si>
    <t>distributable</t>
  </si>
  <si>
    <t>Group</t>
  </si>
  <si>
    <t>Property, plant and equipment</t>
  </si>
  <si>
    <t>-   Malaysian taxation</t>
  </si>
  <si>
    <t>Page 3</t>
  </si>
  <si>
    <t>Interest income</t>
  </si>
  <si>
    <t>Income taxes</t>
  </si>
  <si>
    <t>this announcement.</t>
  </si>
  <si>
    <t>qualification.</t>
  </si>
  <si>
    <t>The same accounting policies and methods of computation used in the preparation of the financial</t>
  </si>
  <si>
    <t>Total revenue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</si>
  <si>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</si>
  <si>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</si>
  <si>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</si>
  <si>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</si>
  <si>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</si>
  <si>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</si>
  <si>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</si>
  <si>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</si>
  <si>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</si>
  <si>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</si>
  <si>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</si>
  <si>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B1</t>
  </si>
  <si>
    <t>B2</t>
  </si>
  <si>
    <t>B3</t>
  </si>
  <si>
    <t xml:space="preserve">    SHAREHOLDERS OF THE COMPANY</t>
  </si>
  <si>
    <t>B4</t>
  </si>
  <si>
    <t>B5</t>
  </si>
  <si>
    <t>Current</t>
  </si>
  <si>
    <t>Quarter</t>
  </si>
  <si>
    <t>B8</t>
  </si>
  <si>
    <t>B7</t>
  </si>
  <si>
    <t>B6</t>
  </si>
  <si>
    <t>B9</t>
  </si>
  <si>
    <t>B10</t>
  </si>
  <si>
    <t>B11</t>
  </si>
  <si>
    <t>B12</t>
  </si>
  <si>
    <t>B13</t>
  </si>
  <si>
    <t>Unallocated corporate expenses</t>
  </si>
  <si>
    <t>DIVIDEND PER SHARE (SEN)</t>
  </si>
  <si>
    <t>(a)</t>
  </si>
  <si>
    <t>(b)</t>
  </si>
  <si>
    <t>(i)</t>
  </si>
  <si>
    <t>(ii)</t>
  </si>
  <si>
    <t>(iii)</t>
  </si>
  <si>
    <t>External</t>
  </si>
  <si>
    <t>Inter-</t>
  </si>
  <si>
    <t>segment</t>
  </si>
  <si>
    <t>Share of results in associates</t>
  </si>
  <si>
    <t>Share</t>
  </si>
  <si>
    <t>Capital</t>
  </si>
  <si>
    <t>Subject:</t>
  </si>
  <si>
    <t>cc:</t>
  </si>
  <si>
    <t>Securities Commission</t>
  </si>
  <si>
    <t>CONDENSED CONSOLIDATED BALANCE SHEET</t>
  </si>
  <si>
    <t>Condensed Consolidated Balance Sheet</t>
  </si>
  <si>
    <t>Condensed Consolidated Income Statement</t>
  </si>
  <si>
    <t>Condensed Consolidated Statement of Changes in Equity</t>
  </si>
  <si>
    <t>Condensed Consolidated Cash Flow Statement</t>
  </si>
  <si>
    <t>Table of contents</t>
  </si>
  <si>
    <t>Page</t>
  </si>
  <si>
    <t>CONDENSED CONSOLIDATED INCOME STATEMENTS</t>
  </si>
  <si>
    <t>CONDENSED CONSOLIDATED CASH FLOW STATEMENT</t>
  </si>
  <si>
    <t>CONDENSED CONSOLIDATED STATEMENT OF CHANGES IN EQUITY</t>
  </si>
  <si>
    <t>Net assets per share (RM)</t>
  </si>
  <si>
    <t>Investment properties</t>
  </si>
  <si>
    <t>Investment in associated company</t>
  </si>
  <si>
    <t>Goodwill arising on consolidation</t>
  </si>
  <si>
    <t>RETAINED EARNINGS</t>
  </si>
  <si>
    <t>date of this announcement.</t>
  </si>
  <si>
    <t xml:space="preserve">Cash and bank balances </t>
  </si>
  <si>
    <t>Profit before tax</t>
  </si>
  <si>
    <t>Our business operations are not significantly affected by seasonal or cyclical factors except for</t>
  </si>
  <si>
    <t>Net cash generated from operating activities</t>
  </si>
  <si>
    <t>Net cash used in financing activities</t>
  </si>
  <si>
    <t>RESULTS</t>
  </si>
  <si>
    <t>Berjaya Sports Toto Berhad</t>
  </si>
  <si>
    <t>(Company no: 9109-K)</t>
  </si>
  <si>
    <t>PROFIT FROM OPERATIONS</t>
  </si>
  <si>
    <t>Long term investments</t>
  </si>
  <si>
    <t>Inventories</t>
  </si>
  <si>
    <t>Deposits with financial institutions</t>
  </si>
  <si>
    <t>SHARE PREMIUM</t>
  </si>
  <si>
    <t>EXCHANGE RESERVE</t>
  </si>
  <si>
    <t>Less : TREASURY SHARES</t>
  </si>
  <si>
    <t>DEFERRED LIABILITIES</t>
  </si>
  <si>
    <t>Treasury</t>
  </si>
  <si>
    <t>Shares</t>
  </si>
  <si>
    <t>Exchange difference</t>
  </si>
  <si>
    <t xml:space="preserve">Cash and cash equivalents carried forward comprise </t>
  </si>
  <si>
    <t>The details of the share buy-back are as follows :</t>
  </si>
  <si>
    <t>Month</t>
  </si>
  <si>
    <t>Price per share (RM)</t>
  </si>
  <si>
    <t>Lowest</t>
  </si>
  <si>
    <t>Highest</t>
  </si>
  <si>
    <t>Average</t>
  </si>
  <si>
    <t>Number of shares</t>
  </si>
  <si>
    <t>Total consideration</t>
  </si>
  <si>
    <t>Amount</t>
  </si>
  <si>
    <t>TOTAL</t>
  </si>
  <si>
    <t>are as follows :</t>
  </si>
  <si>
    <t>USD'000</t>
  </si>
  <si>
    <t>Unsecured</t>
  </si>
  <si>
    <t>Reduction due to repayment of loan</t>
  </si>
  <si>
    <t>-   Foreign countries taxation</t>
  </si>
  <si>
    <t>The particulars of the acquisition and disposal of quoted investments by the Group were as follows :</t>
  </si>
  <si>
    <t>announcement.</t>
  </si>
  <si>
    <t xml:space="preserve">On 23 January 2002, Berjaya Land Berhad ("BLB") gave the Company a written undertaking </t>
  </si>
  <si>
    <t>(RM'000)</t>
  </si>
  <si>
    <t xml:space="preserve">Income </t>
  </si>
  <si>
    <t>(sen)</t>
  </si>
  <si>
    <t xml:space="preserve">Earnings per share </t>
  </si>
  <si>
    <t>Basic earnings per share</t>
  </si>
  <si>
    <t>Number of shares under option</t>
  </si>
  <si>
    <t xml:space="preserve">Number of shares used in  the </t>
  </si>
  <si>
    <t xml:space="preserve">    have been issued at fair value</t>
  </si>
  <si>
    <t xml:space="preserve">Number of shares that would </t>
  </si>
  <si>
    <t>Diluted earnings per share</t>
  </si>
  <si>
    <t xml:space="preserve">Weighted average number </t>
  </si>
  <si>
    <t xml:space="preserve">    of shares outstanding ('000)</t>
  </si>
  <si>
    <t xml:space="preserve">    calculation of diluted earnings per share</t>
  </si>
  <si>
    <t>Increase in net profit as a result of interest</t>
  </si>
  <si>
    <t xml:space="preserve">  expense saved from potential ICULS conversion</t>
  </si>
  <si>
    <t>Adjusted net profit for the period</t>
  </si>
  <si>
    <t>Number of shares from ICULS conversion</t>
  </si>
  <si>
    <t>Toto betting operations</t>
  </si>
  <si>
    <t>Operating profit</t>
  </si>
  <si>
    <t>Translation difference of</t>
  </si>
  <si>
    <t>foreign subsidiary companies</t>
  </si>
  <si>
    <t>Others</t>
  </si>
  <si>
    <t>Elimination : Intersegment Revenue</t>
  </si>
  <si>
    <t>Group (3-month period)</t>
  </si>
  <si>
    <t>our toto betting operations that may be positively impacted by the festive seasons.</t>
  </si>
  <si>
    <t>Net profit after tax</t>
  </si>
  <si>
    <t>The valuation of land and buildings have been brought forward without amendment from the previous</t>
  </si>
  <si>
    <t>Other than subsidiary companies with principal activities of property development, there were no</t>
  </si>
  <si>
    <t>Issue of shares</t>
  </si>
  <si>
    <t>Shares buyback</t>
  </si>
  <si>
    <t>Premium over ICULS bought back</t>
  </si>
  <si>
    <t xml:space="preserve">          PREMIUM OVER ICULS BOUGHT BACK ("PREMIUM")</t>
  </si>
  <si>
    <t xml:space="preserve">There is no pending material litigation since the last annual balance sheet date up to the date of </t>
  </si>
  <si>
    <t>The Group has not entered into any financial instruments with off balance sheet risk since the last</t>
  </si>
  <si>
    <t>annual balance sheet date up to the date of this announcement.</t>
  </si>
  <si>
    <t>OPERATING ACTIVITIES</t>
  </si>
  <si>
    <t>INVESTING ACTIVITIES</t>
  </si>
  <si>
    <t>Acquisition of property, plant and equipment</t>
  </si>
  <si>
    <t>FINANCING ACTIVITIES</t>
  </si>
  <si>
    <t>Issue of ordinary shares</t>
  </si>
  <si>
    <t>Other payments for financing activities</t>
  </si>
  <si>
    <t>Receipts from customers</t>
  </si>
  <si>
    <t>Disposal of property, plant and equipment</t>
  </si>
  <si>
    <t>Dividends paid</t>
  </si>
  <si>
    <t>Inter-company receipt</t>
  </si>
  <si>
    <t>Other receipt from investing activities</t>
  </si>
  <si>
    <t>ICULS - EQUITY COMPONENT</t>
  </si>
  <si>
    <t xml:space="preserve">           STOCKS 2002 / 2012 ("ICULS") - LIABILITY COMPONENT</t>
  </si>
  <si>
    <t>EQUITY FUNDS</t>
  </si>
  <si>
    <t xml:space="preserve">There were no other corporate proposals announced but not completed as at the date of this </t>
  </si>
  <si>
    <t>Pursuant to the resolution included in the Circular to Shareholders dated 5 April 2002, the Company</t>
  </si>
  <si>
    <t>has obtained the necessary approvals for the purchase of ICULS by the Company or any of its</t>
  </si>
  <si>
    <t xml:space="preserve">     - Dilutive</t>
  </si>
  <si>
    <t xml:space="preserve">     - Basic</t>
  </si>
  <si>
    <t xml:space="preserve">NET EQUITY FUNDS </t>
  </si>
  <si>
    <t>8% IRREDEEMABLE CONVERTIBLE UNSECURED LOAN</t>
  </si>
  <si>
    <t>CAPITAL FUNDS</t>
  </si>
  <si>
    <t>royalties and other operating expenses</t>
  </si>
  <si>
    <t xml:space="preserve">Payments to prize winners, suppliers, duties, taxes, </t>
  </si>
  <si>
    <t>ICULS interest paid</t>
  </si>
  <si>
    <t xml:space="preserve"> Basic  :  Net equity funds less ICULS - equity component divided by the number of outstanding shares in issue with voting rights.</t>
  </si>
  <si>
    <t xml:space="preserve"> Basic  :  Net equity funds less goodwill on consolidation, other intangible asset and ICULS - equity component divided by the </t>
  </si>
  <si>
    <t xml:space="preserve">              number of outstanding shares in issue with voting rights</t>
  </si>
  <si>
    <t>component</t>
  </si>
  <si>
    <t>ICULS-equity</t>
  </si>
  <si>
    <t>ICULS - equity component</t>
  </si>
  <si>
    <t>PROVISIONS</t>
  </si>
  <si>
    <t>Increase in treasury shares for the period</t>
  </si>
  <si>
    <t>The audit report of the Company's most recent annual audited financial statements does not contain any</t>
  </si>
  <si>
    <t>Liability</t>
  </si>
  <si>
    <t>Equity</t>
  </si>
  <si>
    <t>Conversion of ICULS into ordinary shares</t>
  </si>
  <si>
    <t>ICULS - liability component classified under other payables</t>
  </si>
  <si>
    <t>The status of conditions imposed by the Securities Commission pertaining to the issuance of ICULS</t>
  </si>
  <si>
    <t>Group level are as follows :</t>
  </si>
  <si>
    <t>Non-current</t>
  </si>
  <si>
    <t xml:space="preserve">    the following balance sheet amounts   :</t>
  </si>
  <si>
    <t xml:space="preserve">wholly-owned subsidiary of the Company has purchased a total of RM26,497,500 nominal value of </t>
  </si>
  <si>
    <t>ICULS from the open market for a total consideration of RM83.9 million. There was no subsequent</t>
  </si>
  <si>
    <t xml:space="preserve">announcement.  There is no cancellation of the ICULS by the Company as at the date of this </t>
  </si>
  <si>
    <t>NON-CURRENT ASSETS</t>
  </si>
  <si>
    <t>The net tangible assets per share is calculated based on the following :</t>
  </si>
  <si>
    <t>The net assets per share is calculated based on the following :</t>
  </si>
  <si>
    <t xml:space="preserve">profits / (losses) on sale of properties and there were no profits / (losses) on sale of unquoted investments </t>
  </si>
  <si>
    <t>Acquisition of associated company</t>
  </si>
  <si>
    <t>Reserves</t>
  </si>
  <si>
    <t xml:space="preserve"> Dilutive  :  Net equity funds divided by the aggregate number of outstanding shares in issue with voting rights and potential </t>
  </si>
  <si>
    <t xml:space="preserve"> Dilutive  :  Net equity funds less goodwill on consolidation and other intangible asset divided by the aggregate number of </t>
  </si>
  <si>
    <t xml:space="preserve">Guarantee given to Noteholders for Secured </t>
  </si>
  <si>
    <t>On 14 August 2003, the Company announced that BLB has informed the Company of its intention</t>
  </si>
  <si>
    <t>to undertake a placement of up to 200 million ordinary shares of RM1.00 each in the Company</t>
  </si>
  <si>
    <t xml:space="preserve">with the primary objective of paying down the inter-company advances owing to the Company. </t>
  </si>
  <si>
    <t>Based on the results for the period:-</t>
  </si>
  <si>
    <t xml:space="preserve">As the Company has no immediate plans to redeploy such funds, the Board would propose to </t>
  </si>
  <si>
    <t>it undertakes to settle the outstanding advances within three years from the date of issue of the ICULS</t>
  </si>
  <si>
    <t xml:space="preserve">("Undertaking Letter") relating to the settlement arrangement for the inter-company advances whereby </t>
  </si>
  <si>
    <t>- First interim</t>
  </si>
  <si>
    <t>Distribution of dividends</t>
  </si>
  <si>
    <t>Cost of purchase</t>
  </si>
  <si>
    <t>on 5 August 2002.  BLB has also given an undertaking that it will ensure that at least RM192.374 million</t>
  </si>
  <si>
    <t>ICULS, comprising 50% of the ICULS beneficially owned by the BLB group will be redeemed from the</t>
  </si>
  <si>
    <t>relevant lenders of Berjaya Group Berhad ("BGB") group of companies within 60 days after the listing</t>
  </si>
  <si>
    <t>Investment related income</t>
  </si>
  <si>
    <t>Treasury shares acquired</t>
  </si>
  <si>
    <t>The quarterly financial report is not audited and has been prepared in compliance with MASB 26, Interim</t>
  </si>
  <si>
    <t>The quarterly financial report should be read in conjunction with the audited financial statements of the</t>
  </si>
  <si>
    <t>There were no other unusual items as a result of their nature, size or incidence that had affected assets,</t>
  </si>
  <si>
    <t>DEFERRED TAX LIABILITIES</t>
  </si>
  <si>
    <t>distribute any surplus funds to its shareholders.  Subsequently on 11 February 2004, BLB announced</t>
  </si>
  <si>
    <t>a revision to its proposal to now undertake a placement of up to 200 million ordinary shares of</t>
  </si>
  <si>
    <t>placement of up to 200 million ordinary shares of RM1.00 each in the Company as announced earlier.</t>
  </si>
  <si>
    <t>Net tangible assets per share (RM)      - Basic</t>
  </si>
  <si>
    <t>Total quoted long term investments at cost</t>
  </si>
  <si>
    <t>Total quoted long term investments at book value</t>
  </si>
  <si>
    <t>Total quoted long term investments at market value</t>
  </si>
  <si>
    <t>Tax recoverable</t>
  </si>
  <si>
    <t xml:space="preserve">Financial Reporting.  </t>
  </si>
  <si>
    <t>Listing Requirements of Bursa Malaysia Securities Berhad</t>
  </si>
  <si>
    <t xml:space="preserve">Additional Information Required by </t>
  </si>
  <si>
    <t xml:space="preserve">Minority interests  </t>
  </si>
  <si>
    <t>PROFIT  ATTRIBUTABLE TO</t>
  </si>
  <si>
    <t>EARNINGS PER SHARE (SEN)</t>
  </si>
  <si>
    <t>The basic and diluted earnings per share are calculated as follows :</t>
  </si>
  <si>
    <t>Long term receivable</t>
  </si>
  <si>
    <t>Deferred tax assets</t>
  </si>
  <si>
    <t>Receivables</t>
  </si>
  <si>
    <t>Amount due from affiliated companies</t>
  </si>
  <si>
    <t>Payables</t>
  </si>
  <si>
    <t>Amount due to affiliated companies</t>
  </si>
  <si>
    <t xml:space="preserve">MINORITY INTERESTS </t>
  </si>
  <si>
    <t>At 1 May 2004</t>
  </si>
  <si>
    <t>At 1 May 2003</t>
  </si>
  <si>
    <t xml:space="preserve">CASH &amp; CASH EQUIVALENTS AT 1 MAY </t>
  </si>
  <si>
    <t xml:space="preserve">Repayment of borrowings </t>
  </si>
  <si>
    <t>Company for the year ended 30 April 2004.</t>
  </si>
  <si>
    <t>statements for the year ended 30 April 2004 have been applied in the preparation of the quarterly</t>
  </si>
  <si>
    <t>financial statements under review.</t>
  </si>
  <si>
    <t>There were no changes in estimates reported in the prior financial year that had a material effect in</t>
  </si>
  <si>
    <t>June 2004</t>
  </si>
  <si>
    <t>July 2004</t>
  </si>
  <si>
    <t>Balance as at 1 May 2004</t>
  </si>
  <si>
    <t>Notes to the Quarterly Financial Report</t>
  </si>
  <si>
    <t>The annexed notes form an integral part of this quarterly financial report.</t>
  </si>
  <si>
    <t>NOTES TO THE QUARTERLY FINANCIAL REPORT</t>
  </si>
  <si>
    <t xml:space="preserve">Accumulated liability component of ICULS extinguished </t>
  </si>
  <si>
    <t>annual report as no revaluation has been carried out since 30 April 2004.</t>
  </si>
  <si>
    <t>including business combination, acquisition or disposal of subsidiaries and long term investments,</t>
  </si>
  <si>
    <t xml:space="preserve">The changes in contingent liabilities since the last audited balance sheet date as at 30 April 2004 </t>
  </si>
  <si>
    <t>5 - 7</t>
  </si>
  <si>
    <t>ADDITIONAL INFORMATION REQUIRED BY LISTING REQUIREMENTS OF BURSA</t>
  </si>
  <si>
    <t>MALAYSIA SECURITIES BERHAD</t>
  </si>
  <si>
    <t>Not applicable.</t>
  </si>
  <si>
    <t>Financial period</t>
  </si>
  <si>
    <t>the statutory tax rate mainly due to certain expenses being disallowed for taxation purposes.</t>
  </si>
  <si>
    <t>a.</t>
  </si>
  <si>
    <t>respect of ordinary transfers.</t>
  </si>
  <si>
    <t>b.</t>
  </si>
  <si>
    <t>8 - 11</t>
  </si>
  <si>
    <t>30-4-2004</t>
  </si>
  <si>
    <t>of and quotation for the Company's ICULS on Bursa Malaysia Securities Berhad ("BMSB").</t>
  </si>
  <si>
    <t xml:space="preserve">for a consideration of Php2,187,500 (equivalent to approximately RM148,500).  The principal activities </t>
  </si>
  <si>
    <t xml:space="preserve">restructuring and discontinuing operations except for the subscription of 17,500 ordinary shares of Php100 </t>
  </si>
  <si>
    <t xml:space="preserve">  Floating Rate Notes issued by an affiliated company :</t>
  </si>
  <si>
    <t>Guarantee given to a financial institution for facility granted to an affiliated company :</t>
  </si>
  <si>
    <t>Repayment to affiliated companies</t>
  </si>
  <si>
    <t>ICULS bought back by a subsidiary company</t>
  </si>
  <si>
    <t>Acquisition of other investments, including</t>
  </si>
  <si>
    <t>each representing 35% equity interest in PGMC Marketing Corporation ("PMC") by one of its subsidiaries</t>
  </si>
  <si>
    <t>Distribution of dividend</t>
  </si>
  <si>
    <t xml:space="preserve">the open market.  The cumulative shares bought back are being held as treasury shares with none of the </t>
  </si>
  <si>
    <t>August 2004</t>
  </si>
  <si>
    <t>September 2004</t>
  </si>
  <si>
    <t>October 2004</t>
  </si>
  <si>
    <t xml:space="preserve">On 31 May 2004, the Company paid the second interim dividend in respect of the financial year </t>
  </si>
  <si>
    <t>ended 30 April 2004, of 20 sen per share on 1,000,487,561 ordinary shares with voting rights,</t>
  </si>
  <si>
    <t>less income tax of 28% amounting to RM144,070,208.</t>
  </si>
  <si>
    <t>On 15 October 2004, the Company paid the first interim dividend in respect of the financial year</t>
  </si>
  <si>
    <t>income tax of 28% amounting to RM70,486,606.</t>
  </si>
  <si>
    <t>Investment related expenses</t>
  </si>
  <si>
    <t>Net profit for the period</t>
  </si>
  <si>
    <t>Share of results of associated company</t>
  </si>
  <si>
    <t>Other receipts</t>
  </si>
  <si>
    <t>the current period.</t>
  </si>
  <si>
    <t>Over provision in prior year</t>
  </si>
  <si>
    <t xml:space="preserve">of PMC are marketing of gaming products and services in the Philippines. </t>
  </si>
  <si>
    <t>- Second interim</t>
  </si>
  <si>
    <t>ending 30 April 2005, of 10 sen per share on 978,980,632 ordinary shares with voting rights, less</t>
  </si>
  <si>
    <t xml:space="preserve">                 outstanding shares in issue with voting rights and potential conversion of ICULS to shares.</t>
  </si>
  <si>
    <t xml:space="preserve">                 conversion of ICULS to shares.</t>
  </si>
  <si>
    <t>This will bring the total gross dividend distribution per share in respect of the financial period ended</t>
  </si>
  <si>
    <t>Based on the number of RM1.00 fully paid ordinary shares in issue and with voting rights as at</t>
  </si>
  <si>
    <t>Transfer to deferred tax liability</t>
  </si>
  <si>
    <t>UNAUDITED QUARTERLY FINANCIAL REPORT FOR THE PERIOD ENDED 31 JANUARY 2005</t>
  </si>
  <si>
    <t>9 months ended</t>
  </si>
  <si>
    <t>31-1-2005</t>
  </si>
  <si>
    <t>31-1-2004</t>
  </si>
  <si>
    <t>ended 31 January 2005</t>
  </si>
  <si>
    <t>The effective tax rate on the Group's profit for financial period ended 31 January 2005 was higher than</t>
  </si>
  <si>
    <t>for the financial period ended 31 January 2005.</t>
  </si>
  <si>
    <t>The acquisition of quoted securities during the financial period ended 31 January 2005 are as follows :</t>
  </si>
  <si>
    <t>Investments in quoted securities as at 31 January 2005 were as follows :</t>
  </si>
  <si>
    <t xml:space="preserve">wholly-owned subsidiaries up to an amount not exceeding RM1.2 billion.  As at 31 January 2005, a </t>
  </si>
  <si>
    <t>purchase of additional ICULS after the financial period ended 31 January 2005 up to the date of this</t>
  </si>
  <si>
    <t>The Group's bank borrowings as at 31 January 2005 consisted of secured short term borrowings by an</t>
  </si>
  <si>
    <t>The first interim dividend of RM0.10 sen per share less 28% income tax was paid on 15 October 2004 and</t>
  </si>
  <si>
    <t>the second interim dividend of RM0.08 sen per share less 28% income tax was paid on 13 January 2005.</t>
  </si>
  <si>
    <t>The Board wishes to inform that the entitlement date for the third interim dividend shall be fixed</t>
  </si>
  <si>
    <t>Group (9-month period)</t>
  </si>
  <si>
    <t>- Third interim</t>
  </si>
  <si>
    <t>At 31 January 2005</t>
  </si>
  <si>
    <t>At 31 January 2004</t>
  </si>
  <si>
    <t>CASH &amp; CASH EQUIVALENTS AT 31 JANUARY</t>
  </si>
  <si>
    <t>9-month ended</t>
  </si>
  <si>
    <t>Purchase of treasury shares by a subsidiary company</t>
  </si>
  <si>
    <t>Net cash generated from investing activities</t>
  </si>
  <si>
    <t>liabilities, equity, net income or cash flows for the financial period ended 31 January 2005.</t>
  </si>
  <si>
    <t xml:space="preserve">During the third quarter ended 31 January 2005, a total of 1,509,000 shares were bought back from </t>
  </si>
  <si>
    <t>shares being cancelled or resold during the third quarter ended 31 January 2005.</t>
  </si>
  <si>
    <t>During the third quarter ended 31 January 2005, a total of 866,046 new ordinary shares of RM1.00</t>
  </si>
  <si>
    <t>each were issued when RM866,046 ICULS were converted into shares at the rate of RM1.00</t>
  </si>
  <si>
    <t xml:space="preserve">nominal value of ICULS plus RM0.20 in cash for every one fully paid ordinary share. </t>
  </si>
  <si>
    <t>January 2005</t>
  </si>
  <si>
    <t>The number of treasury shares held in hand as at 31 January 2005 are as follows :</t>
  </si>
  <si>
    <t>Total treasury shares as at 31 January 2005</t>
  </si>
  <si>
    <t>As at 31 January 2005, the number of outstanding shares in issue and fully paid with voting rights</t>
  </si>
  <si>
    <t>was 967,040,128 (30 April 2004 : 1,000,487,561) ordinary shares of RM1.00 each.</t>
  </si>
  <si>
    <t>The movements of the non-current ICULS during the financial period ended 31 January 2005 at</t>
  </si>
  <si>
    <t>Balance as at 31 January 2005</t>
  </si>
  <si>
    <t>The outstanding ICULS at Company level as at 31 January 2005 are as follows :</t>
  </si>
  <si>
    <t>Non-current ICULS balance as at 31 January 2005 at Group level</t>
  </si>
  <si>
    <t>Accumulated ICULS bought back by a subsidiary company as at 31 Jan 2005</t>
  </si>
  <si>
    <t>Total ICULS balance as at 31 January 2005 at Company level</t>
  </si>
  <si>
    <t>During the financial period ended 31 January 2005, the Company had paid the following dividends :</t>
  </si>
  <si>
    <t>On 13 January 2005, the Company paid the second interim dividend in respect of the financial year</t>
  </si>
  <si>
    <t>Segmental revenue and results for the financial period ended 31 January 2005 were as follows :</t>
  </si>
  <si>
    <t>There were no material subsequent events for the financial  period ended 31 January 2005 up to the</t>
  </si>
  <si>
    <t>There were no changes in the composition of the Company for the current quarter ended 31 January 2005</t>
  </si>
  <si>
    <t>ending 30 April 2005, of 8 sen per share on 968,063,886 ordinary shares with voting rights, less</t>
  </si>
  <si>
    <t>As compared to the corresponding quarter ended 31 January 2004, the Group achieved an increase in</t>
  </si>
  <si>
    <t>revenue and pre-tax profit of 1.8% and 8.7% respectively.</t>
  </si>
  <si>
    <t xml:space="preserve">Sports Toto Malaysia Sdn Bhd ("Sports Toto"), the principal subsidiary, posted an increase of 1.7% in </t>
  </si>
  <si>
    <t xml:space="preserve">revenue and an increase of 5.8% in pre-tax profit.  The increase in revenue was achieved despite there </t>
  </si>
  <si>
    <t>being one draw less in the quarter under review compared to the corresponding quarter, and the</t>
  </si>
  <si>
    <t>traditionally higher Chinese New Year festival sales in the month of January 2004 in the corresponding</t>
  </si>
  <si>
    <t>quarter.</t>
  </si>
  <si>
    <t>For the 9-month period under review, the Group achieved an increase in revenue and pre-tax profit of</t>
  </si>
  <si>
    <t>5.7% and 11.2% respectively as compared to the previous year's corresponding period.</t>
  </si>
  <si>
    <t>The principal subsidiary, Sports Toto, recorded a growth in revenue of 6.1% as compared to the previous</t>
  </si>
  <si>
    <t>year's corresponding period.  The growth was achieved with the continued strong sales of its 4-Digit game.</t>
  </si>
  <si>
    <t>payout in the period under review.</t>
  </si>
  <si>
    <t>As compared to the preceding quarter ended 31 October 2004, the Group achieved an increase in</t>
  </si>
  <si>
    <t>revenue and pre-tax profit of 4.4% and 22.5% respectively mainly due to the higher profit attained by</t>
  </si>
  <si>
    <t>value of certain long term investments made in the previous quarter.</t>
  </si>
  <si>
    <t xml:space="preserve">Sports Toto registered an increase in revenue of 4% as compared to the preceding quarter ended 31 </t>
  </si>
  <si>
    <t>October 2004.  However, there was a higher increase of 13.1% in pre-tax profit which was mainly due</t>
  </si>
  <si>
    <t>to the write-off of the remaining net book value of the old gaming system in the preceding quarter on</t>
  </si>
  <si>
    <t>completion of the conversion to a new on-line system in end July 2004.</t>
  </si>
  <si>
    <t>As at 31 January 2005, the outstanding inter-company balances owing by BLB group was RM792.355</t>
  </si>
  <si>
    <t>BLB group beneficially owns a balance of RM1,058,660 nominal value of ICULS which are free from</t>
  </si>
  <si>
    <t>overseas subsidiary company amounting to approximately USD1,016,000.  The US dollars denominated</t>
  </si>
  <si>
    <t>RM3,861,000.</t>
  </si>
  <si>
    <t xml:space="preserve">borrowings was converted at the rate prevailing as at 31 January 2005 and this was equivalent to </t>
  </si>
  <si>
    <t>RM0.08 per share less 28% income tax).</t>
  </si>
  <si>
    <t xml:space="preserve">Balance as at 31 January 2005 </t>
  </si>
  <si>
    <t xml:space="preserve">For the 9-month period ended 31 January 2005, the total new ordinary shares issued as a result of the </t>
  </si>
  <si>
    <t xml:space="preserve">ICULS conversion were 2,561,567 (including the 1,695,521 new ordinary shares issued as a result of the </t>
  </si>
  <si>
    <t xml:space="preserve">ICULS conversion in the second quarter ended 31 October 2004).  The cumulative shares bought back </t>
  </si>
  <si>
    <t>for the financial period ended 31 January 2005 was 36,009,000.</t>
  </si>
  <si>
    <t>A guarantee fee is receivable by the Company.  There is no changes in contingent assets since the last</t>
  </si>
  <si>
    <t>audited balance sheet date as at 30 April 2004.</t>
  </si>
  <si>
    <t>the principal subsidiary as explained below, coupled with the write back of provision for diminution in</t>
  </si>
  <si>
    <t>2005, the Directors anticipate the performance of the Group for the remaining quarter of the financial</t>
  </si>
  <si>
    <t>year ending 30 April 2005 will be good.</t>
  </si>
  <si>
    <t>RM1.00 each and / or up to RM200 million nominal value of ICULS in the Company instead of only a</t>
  </si>
  <si>
    <t xml:space="preserve">encumbrances, after taking into account the release of RM109.962 million nominal value of ICULS in </t>
  </si>
  <si>
    <t>accordance with the terms of the Undertaking Letter upon BLB's repayment of RM163 million cash</t>
  </si>
  <si>
    <t>in January 2005 and another RM56.924 million in February 2005.</t>
  </si>
  <si>
    <t>income tax of 28% amounting to RM55,760,480.</t>
  </si>
  <si>
    <t>Other receipts for financing activities</t>
  </si>
  <si>
    <t>INCREASE IN CASH AND CASH EQUIVALENTS</t>
  </si>
  <si>
    <t>In view of the current financial year Chinese New Year festive season that fell in the month of February</t>
  </si>
  <si>
    <t>Shares bought on the Exchange on a cum entitlement basis according to the Rules of the Exchange.</t>
  </si>
  <si>
    <t xml:space="preserve">The Board has declared a third interim dividend of RM0.16 (31 January 2004 : RMNil) per share less </t>
  </si>
  <si>
    <t>31 January 2005 to RM0.34 (previous year corresponding financial period ended 31 January 2004 :</t>
  </si>
  <si>
    <t>97.7% of the attributable profit of the Group.</t>
  </si>
  <si>
    <t>on 25 March 2005 and a Depositor shall qualify for the entitlement only in respect of :</t>
  </si>
  <si>
    <t>Shares transferred to the Depositor's Securities Account before 4:00 p.m. on 25 March 2005 in</t>
  </si>
  <si>
    <t>28% income tax in respect of the financial year ending 30 April 2005 and payable on 5 April 2005.</t>
  </si>
  <si>
    <t>The pre-tax profit however rose by 11.6% for the period under review mainly due to a lower prize</t>
  </si>
  <si>
    <t>million upon BLB's repayment of RM163 million on 31 January 2005.  As at 25 February 2005, the</t>
  </si>
  <si>
    <t>25 February 2005 of 1.072 billion, the third interim net dividend distribution for the financial year</t>
  </si>
  <si>
    <t>ending 30 April 2005 is approximately RM123.5 million. This will bring the total net dividend distribution</t>
  </si>
  <si>
    <t xml:space="preserve">for the financial period ended 31 January 2005 to approximately RM249.7 million representing about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</si>
</sst>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dd\ mmm"/>
    <numFmt numFmtId="172" formatCode="dd/mmm/yyyy"/>
    <numFmt numFmtId="173" formatCode="0.000"/>
  </numFmts>
  <fonts count="1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48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0" xfId="0" applyFont="1" applyBorder="1" applyAlignment="1">
      <alignment/>
    </xf>
    <xf numFmtId="15" fontId="1" fillId="0" borderId="0" xfId="0" applyNumberFormat="1" applyFont="1" applyFill="1" applyBorder="1" applyAlignment="1" quotePrefix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1" fillId="0" borderId="0" xfId="15" applyNumberFormat="1" applyFont="1" applyFill="1" applyBorder="1" applyAlignment="1">
      <alignment horizontal="center"/>
    </xf>
    <xf numFmtId="41" fontId="2" fillId="0" borderId="0" xfId="15" applyNumberFormat="1" applyFont="1" applyFill="1" applyBorder="1" applyAlignment="1">
      <alignment horizontal="right"/>
    </xf>
    <xf numFmtId="41" fontId="2" fillId="0" borderId="0" xfId="15" applyNumberFormat="1" applyFont="1" applyFill="1" applyBorder="1" applyAlignment="1">
      <alignment/>
    </xf>
    <xf numFmtId="41" fontId="2" fillId="0" borderId="2" xfId="15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vertical="top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1" fontId="2" fillId="0" borderId="2" xfId="15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41" fontId="2" fillId="0" borderId="1" xfId="15" applyNumberFormat="1" applyFont="1" applyFill="1" applyBorder="1" applyAlignment="1">
      <alignment/>
    </xf>
    <xf numFmtId="41" fontId="2" fillId="0" borderId="4" xfId="15" applyNumberFormat="1" applyFont="1" applyFill="1" applyBorder="1" applyAlignment="1">
      <alignment/>
    </xf>
    <xf numFmtId="41" fontId="2" fillId="0" borderId="0" xfId="15" applyNumberFormat="1" applyFont="1" applyFill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41" fontId="2" fillId="0" borderId="5" xfId="15" applyNumberFormat="1" applyFont="1" applyFill="1" applyBorder="1" applyAlignment="1">
      <alignment/>
    </xf>
    <xf numFmtId="0" fontId="2" fillId="0" borderId="0" xfId="0" applyFont="1" applyBorder="1" applyAlignment="1">
      <alignment vertical="top"/>
    </xf>
    <xf numFmtId="41" fontId="2" fillId="0" borderId="6" xfId="15" applyNumberFormat="1" applyFont="1" applyFill="1" applyBorder="1" applyAlignment="1">
      <alignment/>
    </xf>
    <xf numFmtId="41" fontId="2" fillId="0" borderId="3" xfId="15" applyNumberFormat="1" applyFont="1" applyFill="1" applyBorder="1" applyAlignment="1">
      <alignment/>
    </xf>
    <xf numFmtId="41" fontId="2" fillId="0" borderId="7" xfId="15" applyNumberFormat="1" applyFont="1" applyFill="1" applyBorder="1" applyAlignment="1">
      <alignment/>
    </xf>
    <xf numFmtId="41" fontId="2" fillId="0" borderId="8" xfId="15" applyNumberFormat="1" applyFont="1" applyFill="1" applyBorder="1" applyAlignment="1">
      <alignment/>
    </xf>
    <xf numFmtId="41" fontId="2" fillId="0" borderId="9" xfId="15" applyNumberFormat="1" applyFont="1" applyFill="1" applyBorder="1" applyAlignment="1">
      <alignment vertical="top"/>
    </xf>
    <xf numFmtId="41" fontId="2" fillId="0" borderId="10" xfId="15" applyNumberFormat="1" applyFont="1" applyFill="1" applyBorder="1" applyAlignment="1">
      <alignment/>
    </xf>
    <xf numFmtId="41" fontId="2" fillId="0" borderId="11" xfId="15" applyNumberFormat="1" applyFont="1" applyFill="1" applyBorder="1" applyAlignment="1">
      <alignment vertical="top"/>
    </xf>
    <xf numFmtId="167" fontId="1" fillId="0" borderId="0" xfId="15" applyNumberFormat="1" applyFont="1" applyAlignment="1">
      <alignment/>
    </xf>
    <xf numFmtId="167" fontId="2" fillId="0" borderId="0" xfId="15" applyNumberFormat="1" applyFont="1" applyAlignment="1">
      <alignment/>
    </xf>
    <xf numFmtId="167" fontId="1" fillId="0" borderId="0" xfId="15" applyNumberFormat="1" applyFont="1" applyAlignment="1">
      <alignment horizontal="center"/>
    </xf>
    <xf numFmtId="167" fontId="2" fillId="0" borderId="1" xfId="15" applyNumberFormat="1" applyFont="1" applyBorder="1" applyAlignment="1">
      <alignment vertical="center"/>
    </xf>
    <xf numFmtId="167" fontId="2" fillId="2" borderId="1" xfId="15" applyNumberFormat="1" applyFont="1" applyFill="1" applyBorder="1" applyAlignment="1">
      <alignment vertical="center"/>
    </xf>
    <xf numFmtId="167" fontId="2" fillId="2" borderId="0" xfId="15" applyNumberFormat="1" applyFont="1" applyFill="1" applyAlignment="1">
      <alignment/>
    </xf>
    <xf numFmtId="167" fontId="2" fillId="0" borderId="2" xfId="15" applyNumberFormat="1" applyFont="1" applyBorder="1" applyAlignment="1">
      <alignment/>
    </xf>
    <xf numFmtId="167" fontId="2" fillId="2" borderId="2" xfId="15" applyNumberFormat="1" applyFont="1" applyFill="1" applyBorder="1" applyAlignment="1">
      <alignment/>
    </xf>
    <xf numFmtId="167" fontId="2" fillId="0" borderId="2" xfId="15" applyNumberFormat="1" applyFont="1" applyBorder="1" applyAlignment="1">
      <alignment vertical="top"/>
    </xf>
    <xf numFmtId="167" fontId="2" fillId="2" borderId="2" xfId="15" applyNumberFormat="1" applyFont="1" applyFill="1" applyBorder="1" applyAlignment="1">
      <alignment vertical="top"/>
    </xf>
    <xf numFmtId="167" fontId="2" fillId="0" borderId="1" xfId="15" applyNumberFormat="1" applyFont="1" applyBorder="1" applyAlignment="1">
      <alignment/>
    </xf>
    <xf numFmtId="167" fontId="2" fillId="2" borderId="1" xfId="15" applyNumberFormat="1" applyFont="1" applyFill="1" applyBorder="1" applyAlignment="1">
      <alignment/>
    </xf>
    <xf numFmtId="43" fontId="2" fillId="2" borderId="0" xfId="15" applyNumberFormat="1" applyFont="1" applyFill="1" applyAlignment="1">
      <alignment/>
    </xf>
    <xf numFmtId="43" fontId="2" fillId="0" borderId="0" xfId="15" applyNumberFormat="1" applyFont="1" applyAlignment="1">
      <alignment/>
    </xf>
    <xf numFmtId="167" fontId="2" fillId="0" borderId="0" xfId="15" applyNumberFormat="1" applyFont="1" applyAlignment="1">
      <alignment horizontal="center"/>
    </xf>
    <xf numFmtId="0" fontId="1" fillId="0" borderId="0" xfId="15" applyNumberFormat="1" applyFont="1" applyAlignment="1">
      <alignment/>
    </xf>
    <xf numFmtId="0" fontId="4" fillId="0" borderId="0" xfId="15" applyNumberFormat="1" applyFont="1" applyAlignment="1">
      <alignment/>
    </xf>
    <xf numFmtId="0" fontId="2" fillId="0" borderId="0" xfId="15" applyNumberFormat="1" applyFont="1" applyAlignment="1">
      <alignment/>
    </xf>
    <xf numFmtId="0" fontId="2" fillId="0" borderId="0" xfId="15" applyNumberFormat="1" applyFont="1" applyAlignment="1" quotePrefix="1">
      <alignment/>
    </xf>
    <xf numFmtId="0" fontId="5" fillId="0" borderId="0" xfId="15" applyNumberFormat="1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7" fontId="2" fillId="0" borderId="0" xfId="15" applyNumberFormat="1" applyFont="1" applyAlignment="1">
      <alignment horizontal="center" vertical="center"/>
    </xf>
    <xf numFmtId="167" fontId="7" fillId="0" borderId="0" xfId="15" applyNumberFormat="1" applyFont="1" applyAlignment="1">
      <alignment/>
    </xf>
    <xf numFmtId="0" fontId="2" fillId="0" borderId="0" xfId="15" applyNumberFormat="1" applyFont="1" applyAlignment="1">
      <alignment horizontal="left"/>
    </xf>
    <xf numFmtId="167" fontId="7" fillId="0" borderId="0" xfId="15" applyNumberFormat="1" applyFont="1" applyBorder="1" applyAlignment="1">
      <alignment horizontal="center"/>
    </xf>
    <xf numFmtId="167" fontId="2" fillId="0" borderId="0" xfId="15" applyNumberFormat="1" applyFont="1" applyBorder="1" applyAlignment="1">
      <alignment/>
    </xf>
    <xf numFmtId="167" fontId="7" fillId="0" borderId="0" xfId="15" applyNumberFormat="1" applyFont="1" applyAlignment="1">
      <alignment horizontal="center"/>
    </xf>
    <xf numFmtId="0" fontId="6" fillId="0" borderId="0" xfId="15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0" xfId="15" applyNumberFormat="1" applyFont="1" applyAlignment="1">
      <alignment horizontal="center" vertical="center"/>
    </xf>
    <xf numFmtId="0" fontId="2" fillId="0" borderId="0" xfId="15" applyNumberFormat="1" applyFont="1" applyAlignment="1">
      <alignment horizontal="center" vertical="justify" wrapText="1"/>
    </xf>
    <xf numFmtId="167" fontId="2" fillId="0" borderId="0" xfId="15" applyNumberFormat="1" applyFont="1" applyAlignment="1">
      <alignment/>
    </xf>
    <xf numFmtId="0" fontId="2" fillId="0" borderId="0" xfId="0" applyFont="1" applyBorder="1" applyAlignment="1">
      <alignment/>
    </xf>
    <xf numFmtId="167" fontId="2" fillId="0" borderId="0" xfId="15" applyNumberFormat="1" applyFont="1" applyAlignment="1" quotePrefix="1">
      <alignment horizontal="center"/>
    </xf>
    <xf numFmtId="167" fontId="2" fillId="0" borderId="0" xfId="15" applyNumberFormat="1" applyFont="1" applyAlignment="1">
      <alignment horizontal="right"/>
    </xf>
    <xf numFmtId="0" fontId="5" fillId="0" borderId="0" xfId="0" applyFont="1" applyBorder="1" applyAlignment="1" quotePrefix="1">
      <alignment/>
    </xf>
    <xf numFmtId="167" fontId="2" fillId="0" borderId="0" xfId="15" applyNumberFormat="1" applyFont="1" applyBorder="1" applyAlignment="1">
      <alignment horizontal="right"/>
    </xf>
    <xf numFmtId="167" fontId="2" fillId="0" borderId="12" xfId="15" applyNumberFormat="1" applyFont="1" applyBorder="1" applyAlignment="1">
      <alignment/>
    </xf>
    <xf numFmtId="167" fontId="2" fillId="0" borderId="13" xfId="15" applyNumberFormat="1" applyFont="1" applyBorder="1" applyAlignment="1">
      <alignment/>
    </xf>
    <xf numFmtId="167" fontId="2" fillId="0" borderId="0" xfId="15" applyNumberFormat="1" applyFont="1" applyAlignment="1">
      <alignment horizontal="left" indent="1"/>
    </xf>
    <xf numFmtId="167" fontId="2" fillId="0" borderId="0" xfId="15" applyNumberFormat="1" applyFont="1" applyBorder="1" applyAlignment="1">
      <alignment/>
    </xf>
    <xf numFmtId="0" fontId="2" fillId="0" borderId="1" xfId="15" applyNumberFormat="1" applyFont="1" applyBorder="1" applyAlignment="1">
      <alignment vertical="center"/>
    </xf>
    <xf numFmtId="0" fontId="2" fillId="0" borderId="2" xfId="15" applyNumberFormat="1" applyFont="1" applyBorder="1" applyAlignment="1">
      <alignment/>
    </xf>
    <xf numFmtId="0" fontId="2" fillId="0" borderId="2" xfId="15" applyNumberFormat="1" applyFont="1" applyBorder="1" applyAlignment="1">
      <alignment vertical="top"/>
    </xf>
    <xf numFmtId="0" fontId="2" fillId="0" borderId="1" xfId="15" applyNumberFormat="1" applyFont="1" applyBorder="1" applyAlignment="1">
      <alignment/>
    </xf>
    <xf numFmtId="0" fontId="1" fillId="0" borderId="0" xfId="0" applyNumberFormat="1" applyFont="1" applyAlignment="1">
      <alignment/>
    </xf>
    <xf numFmtId="167" fontId="2" fillId="0" borderId="0" xfId="15" applyNumberFormat="1" applyFont="1" applyAlignment="1">
      <alignment horizontal="left"/>
    </xf>
    <xf numFmtId="167" fontId="2" fillId="0" borderId="2" xfId="15" applyNumberFormat="1" applyFont="1" applyBorder="1" applyAlignment="1">
      <alignment horizontal="left"/>
    </xf>
    <xf numFmtId="167" fontId="2" fillId="0" borderId="1" xfId="15" applyNumberFormat="1" applyFont="1" applyBorder="1" applyAlignment="1">
      <alignment horizontal="left"/>
    </xf>
    <xf numFmtId="0" fontId="2" fillId="0" borderId="0" xfId="15" applyNumberFormat="1" applyFont="1" applyAlignment="1">
      <alignment/>
    </xf>
    <xf numFmtId="0" fontId="2" fillId="0" borderId="2" xfId="0" applyFont="1" applyBorder="1" applyAlignment="1">
      <alignment horizontal="center"/>
    </xf>
    <xf numFmtId="167" fontId="2" fillId="0" borderId="2" xfId="15" applyNumberFormat="1" applyFont="1" applyBorder="1" applyAlignment="1">
      <alignment horizontal="right"/>
    </xf>
    <xf numFmtId="167" fontId="5" fillId="0" borderId="0" xfId="15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 quotePrefix="1">
      <alignment horizontal="right"/>
    </xf>
    <xf numFmtId="17" fontId="2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43" fontId="2" fillId="0" borderId="0" xfId="15" applyFont="1" applyFill="1" applyAlignment="1">
      <alignment/>
    </xf>
    <xf numFmtId="0" fontId="1" fillId="0" borderId="0" xfId="0" applyFont="1" applyBorder="1" applyAlignment="1">
      <alignment vertical="center"/>
    </xf>
    <xf numFmtId="41" fontId="2" fillId="0" borderId="0" xfId="15" applyNumberFormat="1" applyFont="1" applyFill="1" applyBorder="1" applyAlignment="1">
      <alignment vertical="center"/>
    </xf>
    <xf numFmtId="14" fontId="2" fillId="0" borderId="1" xfId="0" applyNumberFormat="1" applyFont="1" applyBorder="1" applyAlignment="1">
      <alignment/>
    </xf>
    <xf numFmtId="41" fontId="2" fillId="0" borderId="0" xfId="0" applyNumberFormat="1" applyFont="1" applyFill="1" applyAlignment="1">
      <alignment/>
    </xf>
    <xf numFmtId="0" fontId="7" fillId="0" borderId="0" xfId="15" applyNumberFormat="1" applyFont="1" applyAlignment="1">
      <alignment/>
    </xf>
    <xf numFmtId="43" fontId="2" fillId="2" borderId="0" xfId="15" applyNumberFormat="1" applyFont="1" applyFill="1" applyAlignment="1">
      <alignment horizontal="center"/>
    </xf>
    <xf numFmtId="167" fontId="2" fillId="0" borderId="13" xfId="15" applyNumberFormat="1" applyFont="1" applyBorder="1" applyAlignment="1">
      <alignment/>
    </xf>
    <xf numFmtId="16" fontId="2" fillId="0" borderId="0" xfId="0" applyNumberFormat="1" applyFont="1" applyAlignment="1">
      <alignment horizontal="center"/>
    </xf>
    <xf numFmtId="0" fontId="2" fillId="0" borderId="6" xfId="15" applyNumberFormat="1" applyFont="1" applyBorder="1" applyAlignment="1">
      <alignment/>
    </xf>
    <xf numFmtId="167" fontId="2" fillId="0" borderId="14" xfId="15" applyNumberFormat="1" applyFont="1" applyBorder="1" applyAlignment="1">
      <alignment/>
    </xf>
    <xf numFmtId="0" fontId="2" fillId="0" borderId="3" xfId="15" applyNumberFormat="1" applyFont="1" applyBorder="1" applyAlignment="1">
      <alignment/>
    </xf>
    <xf numFmtId="17" fontId="2" fillId="0" borderId="3" xfId="15" applyNumberFormat="1" applyFont="1" applyBorder="1" applyAlignment="1" quotePrefix="1">
      <alignment/>
    </xf>
    <xf numFmtId="167" fontId="2" fillId="0" borderId="8" xfId="15" applyNumberFormat="1" applyFont="1" applyBorder="1" applyAlignment="1">
      <alignment/>
    </xf>
    <xf numFmtId="167" fontId="2" fillId="0" borderId="9" xfId="15" applyNumberFormat="1" applyFont="1" applyBorder="1" applyAlignment="1">
      <alignment/>
    </xf>
    <xf numFmtId="0" fontId="2" fillId="0" borderId="11" xfId="15" applyNumberFormat="1" applyFont="1" applyBorder="1" applyAlignment="1">
      <alignment/>
    </xf>
    <xf numFmtId="167" fontId="2" fillId="0" borderId="11" xfId="15" applyNumberFormat="1" applyFont="1" applyBorder="1" applyAlignment="1">
      <alignment/>
    </xf>
    <xf numFmtId="167" fontId="2" fillId="0" borderId="3" xfId="15" applyNumberFormat="1" applyFont="1" applyBorder="1" applyAlignment="1">
      <alignment/>
    </xf>
    <xf numFmtId="167" fontId="2" fillId="0" borderId="15" xfId="15" applyNumberFormat="1" applyFont="1" applyBorder="1" applyAlignment="1">
      <alignment/>
    </xf>
    <xf numFmtId="167" fontId="2" fillId="0" borderId="16" xfId="15" applyNumberFormat="1" applyFont="1" applyBorder="1" applyAlignment="1">
      <alignment/>
    </xf>
    <xf numFmtId="167" fontId="2" fillId="0" borderId="6" xfId="15" applyNumberFormat="1" applyFont="1" applyBorder="1" applyAlignment="1">
      <alignment/>
    </xf>
    <xf numFmtId="167" fontId="2" fillId="0" borderId="7" xfId="15" applyNumberFormat="1" applyFont="1" applyBorder="1" applyAlignment="1">
      <alignment/>
    </xf>
    <xf numFmtId="43" fontId="2" fillId="0" borderId="11" xfId="15" applyNumberFormat="1" applyFont="1" applyBorder="1" applyAlignment="1">
      <alignment/>
    </xf>
    <xf numFmtId="43" fontId="2" fillId="0" borderId="16" xfId="15" applyNumberFormat="1" applyFont="1" applyBorder="1" applyAlignment="1">
      <alignment/>
    </xf>
    <xf numFmtId="43" fontId="2" fillId="0" borderId="2" xfId="15" applyNumberFormat="1" applyFont="1" applyBorder="1" applyAlignment="1">
      <alignment/>
    </xf>
    <xf numFmtId="17" fontId="2" fillId="0" borderId="11" xfId="15" applyNumberFormat="1" applyFont="1" applyBorder="1" applyAlignment="1">
      <alignment/>
    </xf>
    <xf numFmtId="167" fontId="2" fillId="0" borderId="17" xfId="15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167" fontId="2" fillId="0" borderId="2" xfId="15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43" fontId="2" fillId="0" borderId="12" xfId="0" applyNumberFormat="1" applyFont="1" applyBorder="1" applyAlignment="1">
      <alignment/>
    </xf>
    <xf numFmtId="43" fontId="2" fillId="0" borderId="12" xfId="15" applyNumberFormat="1" applyFont="1" applyBorder="1" applyAlignment="1">
      <alignment/>
    </xf>
    <xf numFmtId="43" fontId="2" fillId="0" borderId="12" xfId="15" applyNumberFormat="1" applyFont="1" applyBorder="1" applyAlignment="1">
      <alignment horizontal="left" indent="1"/>
    </xf>
    <xf numFmtId="14" fontId="2" fillId="0" borderId="0" xfId="0" applyNumberFormat="1" applyFont="1" applyAlignment="1">
      <alignment horizontal="left"/>
    </xf>
    <xf numFmtId="43" fontId="2" fillId="0" borderId="0" xfId="15" applyNumberFormat="1" applyFont="1" applyBorder="1" applyAlignment="1">
      <alignment horizontal="left" indent="1"/>
    </xf>
    <xf numFmtId="43" fontId="2" fillId="0" borderId="0" xfId="0" applyNumberFormat="1" applyFont="1" applyBorder="1" applyAlignment="1">
      <alignment/>
    </xf>
    <xf numFmtId="167" fontId="2" fillId="0" borderId="18" xfId="15" applyNumberFormat="1" applyFont="1" applyBorder="1" applyAlignment="1">
      <alignment horizontal="left"/>
    </xf>
    <xf numFmtId="167" fontId="2" fillId="0" borderId="0" xfId="15" applyNumberFormat="1" applyFont="1" applyBorder="1" applyAlignment="1">
      <alignment horizontal="left"/>
    </xf>
    <xf numFmtId="14" fontId="2" fillId="0" borderId="2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67" fontId="2" fillId="0" borderId="2" xfId="15" applyNumberFormat="1" applyFont="1" applyBorder="1" applyAlignment="1">
      <alignment horizontal="center"/>
    </xf>
    <xf numFmtId="43" fontId="2" fillId="0" borderId="0" xfId="15" applyFont="1" applyFill="1" applyAlignment="1">
      <alignment horizontal="right"/>
    </xf>
    <xf numFmtId="0" fontId="1" fillId="0" borderId="0" xfId="0" applyFont="1" applyAlignment="1">
      <alignment horizontal="center"/>
    </xf>
    <xf numFmtId="167" fontId="2" fillId="0" borderId="3" xfId="15" applyNumberFormat="1" applyFont="1" applyBorder="1" applyAlignment="1">
      <alignment horizontal="center"/>
    </xf>
    <xf numFmtId="167" fontId="2" fillId="0" borderId="8" xfId="15" applyNumberFormat="1" applyFont="1" applyBorder="1" applyAlignment="1">
      <alignment horizontal="center"/>
    </xf>
    <xf numFmtId="167" fontId="2" fillId="0" borderId="0" xfId="15" applyNumberFormat="1" applyFont="1" applyBorder="1" applyAlignment="1">
      <alignment horizontal="center"/>
    </xf>
    <xf numFmtId="0" fontId="11" fillId="0" borderId="0" xfId="0" applyFont="1" applyAlignment="1" quotePrefix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167" fontId="0" fillId="0" borderId="0" xfId="15" applyNumberFormat="1" applyAlignment="1">
      <alignment/>
    </xf>
    <xf numFmtId="0" fontId="1" fillId="0" borderId="0" xfId="15" applyNumberFormat="1" applyFont="1" applyFill="1" applyAlignment="1" quotePrefix="1">
      <alignment horizontal="center"/>
    </xf>
    <xf numFmtId="0" fontId="2" fillId="0" borderId="0" xfId="15" applyNumberFormat="1" applyFont="1" applyFill="1" applyAlignment="1">
      <alignment/>
    </xf>
    <xf numFmtId="14" fontId="1" fillId="0" borderId="0" xfId="0" applyNumberFormat="1" applyFont="1" applyFill="1" applyAlignment="1">
      <alignment horizontal="left"/>
    </xf>
    <xf numFmtId="167" fontId="2" fillId="0" borderId="2" xfId="15" applyNumberFormat="1" applyFont="1" applyFill="1" applyBorder="1" applyAlignment="1">
      <alignment/>
    </xf>
    <xf numFmtId="167" fontId="2" fillId="0" borderId="0" xfId="15" applyNumberFormat="1" applyFont="1" applyFill="1" applyAlignment="1">
      <alignment/>
    </xf>
    <xf numFmtId="167" fontId="2" fillId="0" borderId="4" xfId="15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67" fontId="2" fillId="0" borderId="0" xfId="15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167" fontId="2" fillId="0" borderId="13" xfId="15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5" fontId="2" fillId="0" borderId="0" xfId="0" applyNumberFormat="1" applyFont="1" applyAlignment="1">
      <alignment horizontal="left"/>
    </xf>
    <xf numFmtId="41" fontId="12" fillId="0" borderId="0" xfId="0" applyNumberFormat="1" applyFont="1" applyAlignment="1">
      <alignment/>
    </xf>
    <xf numFmtId="167" fontId="12" fillId="0" borderId="0" xfId="15" applyNumberFormat="1" applyFont="1" applyAlignment="1">
      <alignment/>
    </xf>
    <xf numFmtId="167" fontId="2" fillId="0" borderId="0" xfId="15" applyNumberFormat="1" applyFont="1" applyAlignment="1" quotePrefix="1">
      <alignment/>
    </xf>
    <xf numFmtId="167" fontId="2" fillId="0" borderId="0" xfId="15" applyNumberFormat="1" applyFont="1" applyFill="1" applyAlignment="1">
      <alignment/>
    </xf>
    <xf numFmtId="43" fontId="2" fillId="0" borderId="3" xfId="15" applyNumberFormat="1" applyFont="1" applyFill="1" applyBorder="1" applyAlignment="1">
      <alignment/>
    </xf>
    <xf numFmtId="43" fontId="2" fillId="0" borderId="19" xfId="15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/>
    </xf>
    <xf numFmtId="167" fontId="2" fillId="0" borderId="16" xfId="15" applyNumberFormat="1" applyFont="1" applyFill="1" applyBorder="1" applyAlignment="1">
      <alignment/>
    </xf>
    <xf numFmtId="0" fontId="1" fillId="0" borderId="0" xfId="0" applyFont="1" applyAlignment="1" quotePrefix="1">
      <alignment/>
    </xf>
    <xf numFmtId="167" fontId="2" fillId="0" borderId="13" xfId="15" applyNumberFormat="1" applyFont="1" applyFill="1" applyBorder="1" applyAlignment="1">
      <alignment/>
    </xf>
    <xf numFmtId="167" fontId="2" fillId="0" borderId="12" xfId="0" applyNumberFormat="1" applyFont="1" applyFill="1" applyBorder="1" applyAlignment="1">
      <alignment/>
    </xf>
    <xf numFmtId="167" fontId="2" fillId="0" borderId="0" xfId="15" applyNumberFormat="1" applyFont="1" applyFill="1" applyBorder="1" applyAlignment="1">
      <alignment/>
    </xf>
    <xf numFmtId="167" fontId="2" fillId="0" borderId="2" xfId="15" applyNumberFormat="1" applyFont="1" applyFill="1" applyBorder="1" applyAlignment="1">
      <alignment/>
    </xf>
    <xf numFmtId="0" fontId="2" fillId="0" borderId="0" xfId="15" applyNumberFormat="1" applyFont="1" applyFill="1" applyAlignment="1">
      <alignment horizontal="center"/>
    </xf>
    <xf numFmtId="14" fontId="2" fillId="0" borderId="0" xfId="0" applyNumberFormat="1" applyFont="1" applyAlignment="1" quotePrefix="1">
      <alignment/>
    </xf>
    <xf numFmtId="0" fontId="11" fillId="0" borderId="0" xfId="0" applyFont="1" applyFill="1" applyAlignment="1">
      <alignment/>
    </xf>
    <xf numFmtId="167" fontId="2" fillId="0" borderId="12" xfId="15" applyNumberFormat="1" applyFont="1" applyFill="1" applyBorder="1" applyAlignment="1">
      <alignment horizontal="right"/>
    </xf>
    <xf numFmtId="167" fontId="2" fillId="0" borderId="12" xfId="15" applyNumberFormat="1" applyFont="1" applyFill="1" applyBorder="1" applyAlignment="1">
      <alignment/>
    </xf>
    <xf numFmtId="167" fontId="2" fillId="0" borderId="20" xfId="15" applyNumberFormat="1" applyFont="1" applyFill="1" applyBorder="1" applyAlignment="1">
      <alignment/>
    </xf>
    <xf numFmtId="167" fontId="1" fillId="0" borderId="0" xfId="15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14" fontId="1" fillId="0" borderId="0" xfId="0" applyNumberFormat="1" applyFont="1" applyAlignment="1">
      <alignment horizontal="left"/>
    </xf>
    <xf numFmtId="14" fontId="1" fillId="0" borderId="0" xfId="0" applyNumberFormat="1" applyFont="1" applyAlignment="1" quotePrefix="1">
      <alignment horizontal="left"/>
    </xf>
    <xf numFmtId="0" fontId="1" fillId="0" borderId="2" xfId="0" applyFont="1" applyBorder="1" applyAlignment="1">
      <alignment horizontal="center"/>
    </xf>
    <xf numFmtId="167" fontId="2" fillId="0" borderId="14" xfId="15" applyNumberFormat="1" applyFont="1" applyBorder="1" applyAlignment="1">
      <alignment horizontal="center"/>
    </xf>
    <xf numFmtId="167" fontId="2" fillId="0" borderId="7" xfId="15" applyNumberFormat="1" applyFont="1" applyBorder="1" applyAlignment="1">
      <alignment horizontal="center"/>
    </xf>
    <xf numFmtId="167" fontId="2" fillId="0" borderId="2" xfId="15" applyNumberFormat="1" applyFont="1" applyBorder="1" applyAlignment="1">
      <alignment horizontal="center"/>
    </xf>
    <xf numFmtId="167" fontId="2" fillId="0" borderId="9" xfId="15" applyNumberFormat="1" applyFont="1" applyBorder="1" applyAlignment="1">
      <alignment horizontal="center"/>
    </xf>
    <xf numFmtId="167" fontId="2" fillId="0" borderId="11" xfId="15" applyNumberFormat="1" applyFont="1" applyBorder="1" applyAlignment="1">
      <alignment horizontal="center"/>
    </xf>
    <xf numFmtId="167" fontId="2" fillId="0" borderId="10" xfId="15" applyNumberFormat="1" applyFont="1" applyBorder="1" applyAlignment="1">
      <alignment horizontal="center"/>
    </xf>
    <xf numFmtId="167" fontId="2" fillId="0" borderId="18" xfId="15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53"/>
  <sheetViews>
    <sheetView showGridLines="0" workbookViewId="0" topLeftCell="A27">
      <selection activeCell="F42" sqref="F42"/>
    </sheetView>
  </sheetViews>
  <sheetFormatPr defaultColWidth="9.140625" defaultRowHeight="12.75"/>
  <cols>
    <col min="1" max="1" width="8.421875" style="55" customWidth="1"/>
    <col min="2" max="4" width="8.421875" style="39" customWidth="1"/>
    <col min="5" max="5" width="6.57421875" style="39" customWidth="1"/>
    <col min="6" max="9" width="12.7109375" style="39" customWidth="1"/>
    <col min="10" max="16384" width="9.140625" style="39" customWidth="1"/>
  </cols>
  <sheetData>
    <row r="4" ht="10.5" customHeight="1"/>
    <row r="5" ht="15">
      <c r="A5" s="5" t="str">
        <f>Cover!B10</f>
        <v>UNAUDITED QUARTERLY FINANCIAL REPORT FOR THE PERIOD ENDED 31 JANUARY 2005</v>
      </c>
    </row>
    <row r="6" ht="5.25" customHeight="1">
      <c r="A6" s="5"/>
    </row>
    <row r="7" ht="15">
      <c r="A7" s="53" t="s">
        <v>82</v>
      </c>
    </row>
    <row r="8" ht="5.25" customHeight="1"/>
    <row r="9" spans="5:9" ht="15">
      <c r="E9" s="38"/>
      <c r="F9" s="190" t="s">
        <v>0</v>
      </c>
      <c r="G9" s="190"/>
      <c r="H9" s="190" t="s">
        <v>322</v>
      </c>
      <c r="I9" s="190"/>
    </row>
    <row r="10" spans="5:9" ht="15">
      <c r="E10" s="38"/>
      <c r="F10" s="156" t="s">
        <v>323</v>
      </c>
      <c r="G10" s="156" t="s">
        <v>324</v>
      </c>
      <c r="H10" s="156" t="str">
        <f>+F10</f>
        <v>31-1-2005</v>
      </c>
      <c r="I10" s="156" t="str">
        <f>+G10</f>
        <v>31-1-2004</v>
      </c>
    </row>
    <row r="11" spans="5:9" ht="15">
      <c r="E11" s="40"/>
      <c r="F11" s="40" t="s">
        <v>1</v>
      </c>
      <c r="G11" s="40" t="s">
        <v>1</v>
      </c>
      <c r="H11" s="40" t="s">
        <v>1</v>
      </c>
      <c r="I11" s="40" t="s">
        <v>1</v>
      </c>
    </row>
    <row r="12" spans="1:9" ht="22.5" customHeight="1" thickBot="1">
      <c r="A12" s="83" t="s">
        <v>2</v>
      </c>
      <c r="B12" s="41"/>
      <c r="C12" s="41"/>
      <c r="D12" s="41"/>
      <c r="E12" s="41"/>
      <c r="F12" s="42">
        <f>+H12-1275176</f>
        <v>671639</v>
      </c>
      <c r="G12" s="41">
        <v>660056</v>
      </c>
      <c r="H12" s="42">
        <v>1946815</v>
      </c>
      <c r="I12" s="41">
        <v>1841694</v>
      </c>
    </row>
    <row r="13" spans="6:8" ht="15">
      <c r="F13" s="43"/>
      <c r="H13" s="43"/>
    </row>
    <row r="14" spans="1:9" ht="15">
      <c r="A14" s="55" t="s">
        <v>99</v>
      </c>
      <c r="F14" s="43">
        <f>+H14-222458</f>
        <v>118871</v>
      </c>
      <c r="G14" s="39">
        <v>112169</v>
      </c>
      <c r="H14" s="43">
        <f>352446+2622-5770-7490-540+4+148-38-53</f>
        <v>341329</v>
      </c>
      <c r="I14" s="39">
        <v>304082</v>
      </c>
    </row>
    <row r="15" spans="6:8" ht="15">
      <c r="F15" s="43"/>
      <c r="H15" s="43"/>
    </row>
    <row r="16" spans="1:9" ht="15">
      <c r="A16" s="55" t="s">
        <v>231</v>
      </c>
      <c r="F16" s="43">
        <f>+H16-28840</f>
        <v>14436</v>
      </c>
      <c r="G16" s="39">
        <v>16172</v>
      </c>
      <c r="H16" s="43">
        <v>43276</v>
      </c>
      <c r="I16" s="39">
        <v>48384</v>
      </c>
    </row>
    <row r="17" spans="1:9" ht="15">
      <c r="A17" s="55" t="s">
        <v>307</v>
      </c>
      <c r="F17" s="43">
        <f>+H17--4919</f>
        <v>2811</v>
      </c>
      <c r="G17" s="39">
        <v>0</v>
      </c>
      <c r="H17" s="43">
        <v>-2108</v>
      </c>
      <c r="I17" s="39">
        <v>0</v>
      </c>
    </row>
    <row r="18" spans="1:9" ht="15">
      <c r="A18" s="55" t="s">
        <v>3</v>
      </c>
      <c r="F18" s="43">
        <f>+H18--5217</f>
        <v>-2718</v>
      </c>
      <c r="G18" s="39">
        <v>-5643</v>
      </c>
      <c r="H18" s="43">
        <v>-7935</v>
      </c>
      <c r="I18" s="39">
        <v>-15881</v>
      </c>
    </row>
    <row r="19" spans="1:9" ht="15">
      <c r="A19" s="55" t="s">
        <v>69</v>
      </c>
      <c r="F19" s="43">
        <f>+H19--404</f>
        <v>0</v>
      </c>
      <c r="G19" s="39">
        <v>0</v>
      </c>
      <c r="H19" s="43">
        <v>-404</v>
      </c>
      <c r="I19" s="39">
        <v>0</v>
      </c>
    </row>
    <row r="20" spans="1:9" ht="9.75" customHeight="1">
      <c r="A20" s="84"/>
      <c r="B20" s="44"/>
      <c r="C20" s="44"/>
      <c r="D20" s="44"/>
      <c r="E20" s="44"/>
      <c r="F20" s="45"/>
      <c r="G20" s="44"/>
      <c r="H20" s="45"/>
      <c r="I20" s="44"/>
    </row>
    <row r="21" spans="1:9" ht="17.25" customHeight="1">
      <c r="A21" s="55" t="s">
        <v>4</v>
      </c>
      <c r="F21" s="43">
        <f>SUM(F14:F20)</f>
        <v>133400</v>
      </c>
      <c r="G21" s="39">
        <f>SUM(G14:G20)</f>
        <v>122698</v>
      </c>
      <c r="H21" s="43">
        <f>SUM(H14:H20)</f>
        <v>374158</v>
      </c>
      <c r="I21" s="39">
        <f>SUM(I14:I20)</f>
        <v>336585</v>
      </c>
    </row>
    <row r="22" spans="6:8" ht="17.25" customHeight="1">
      <c r="F22" s="43"/>
      <c r="H22" s="43"/>
    </row>
    <row r="23" spans="1:9" ht="18.75" customHeight="1">
      <c r="A23" s="85" t="s">
        <v>5</v>
      </c>
      <c r="B23" s="46"/>
      <c r="C23" s="46"/>
      <c r="D23" s="46"/>
      <c r="E23" s="46"/>
      <c r="F23" s="47">
        <f>+H23--77430</f>
        <v>-39698</v>
      </c>
      <c r="G23" s="46">
        <v>-36982</v>
      </c>
      <c r="H23" s="47">
        <v>-117128</v>
      </c>
      <c r="I23" s="46">
        <v>-101990</v>
      </c>
    </row>
    <row r="24" spans="1:9" ht="20.25" customHeight="1">
      <c r="A24" s="55" t="s">
        <v>6</v>
      </c>
      <c r="F24" s="43">
        <f>SUM(F21:F23)</f>
        <v>93702</v>
      </c>
      <c r="G24" s="39">
        <f>SUM(G21:G23)</f>
        <v>85716</v>
      </c>
      <c r="H24" s="43">
        <f>SUM(H21:H23)</f>
        <v>257030</v>
      </c>
      <c r="I24" s="39">
        <f>SUM(I21:I23)</f>
        <v>234595</v>
      </c>
    </row>
    <row r="25" spans="6:8" ht="16.5" customHeight="1">
      <c r="F25" s="43"/>
      <c r="H25" s="43"/>
    </row>
    <row r="26" spans="1:9" ht="15">
      <c r="A26" s="157" t="s">
        <v>248</v>
      </c>
      <c r="F26" s="43">
        <f>+H26--747</f>
        <v>-572</v>
      </c>
      <c r="G26" s="39">
        <v>-4861</v>
      </c>
      <c r="H26" s="43">
        <v>-1319</v>
      </c>
      <c r="I26" s="39">
        <v>-5097</v>
      </c>
    </row>
    <row r="27" spans="1:9" ht="9.75" customHeight="1">
      <c r="A27" s="84"/>
      <c r="B27" s="44"/>
      <c r="C27" s="44"/>
      <c r="D27" s="44"/>
      <c r="E27" s="44"/>
      <c r="F27" s="45"/>
      <c r="G27" s="44"/>
      <c r="H27" s="45"/>
      <c r="I27" s="44"/>
    </row>
    <row r="28" spans="1:8" ht="21.75" customHeight="1">
      <c r="A28" s="55" t="s">
        <v>249</v>
      </c>
      <c r="F28" s="43"/>
      <c r="H28" s="43"/>
    </row>
    <row r="29" spans="1:9" ht="15">
      <c r="A29" s="55" t="s">
        <v>46</v>
      </c>
      <c r="F29" s="43">
        <f>+F24+F26</f>
        <v>93130</v>
      </c>
      <c r="G29" s="39">
        <f>+G24+G26</f>
        <v>80855</v>
      </c>
      <c r="H29" s="43">
        <f>+H24+H26</f>
        <v>255711</v>
      </c>
      <c r="I29" s="39">
        <f>+I24+I26</f>
        <v>229498</v>
      </c>
    </row>
    <row r="30" spans="1:9" ht="9" customHeight="1" thickBot="1">
      <c r="A30" s="86"/>
      <c r="B30" s="48"/>
      <c r="C30" s="48"/>
      <c r="D30" s="48"/>
      <c r="E30" s="48"/>
      <c r="F30" s="49"/>
      <c r="G30" s="48"/>
      <c r="H30" s="49"/>
      <c r="I30" s="48"/>
    </row>
    <row r="31" spans="6:8" ht="9" customHeight="1">
      <c r="F31" s="43"/>
      <c r="H31" s="43"/>
    </row>
    <row r="32" spans="1:8" ht="15">
      <c r="A32" s="55" t="s">
        <v>250</v>
      </c>
      <c r="F32" s="43"/>
      <c r="H32" s="43"/>
    </row>
    <row r="33" spans="1:9" ht="15.75" customHeight="1">
      <c r="A33" s="55" t="s">
        <v>7</v>
      </c>
      <c r="F33" s="50">
        <f>+'Notes (2)'!I171</f>
        <v>9.621205703506115</v>
      </c>
      <c r="G33" s="51">
        <f>+'Notes (2)'!J171</f>
        <v>9.446990878404824</v>
      </c>
      <c r="H33" s="50">
        <f>+'Notes (2)'!I192</f>
        <v>26.045731362621044</v>
      </c>
      <c r="I33" s="51">
        <f>+'Notes (2)'!J192</f>
        <v>28.18810905884058</v>
      </c>
    </row>
    <row r="34" spans="6:8" ht="8.25" customHeight="1">
      <c r="F34" s="43"/>
      <c r="H34" s="43"/>
    </row>
    <row r="35" spans="1:9" ht="15">
      <c r="A35" s="55" t="s">
        <v>8</v>
      </c>
      <c r="F35" s="111">
        <f>+'Notes (2)'!I181</f>
        <v>7.807133421400264</v>
      </c>
      <c r="G35" s="51">
        <f>+'Notes (2)'!J181</f>
        <v>7.134991205278903</v>
      </c>
      <c r="H35" s="111">
        <f>+'Notes (2)'!I202</f>
        <v>21.340209613646152</v>
      </c>
      <c r="I35" s="51">
        <f>+'Notes (2)'!J202</f>
        <v>20.9882581564288</v>
      </c>
    </row>
    <row r="36" spans="1:9" ht="9" customHeight="1" thickBot="1">
      <c r="A36" s="86"/>
      <c r="B36" s="48"/>
      <c r="C36" s="48"/>
      <c r="D36" s="48"/>
      <c r="E36" s="48"/>
      <c r="F36" s="49"/>
      <c r="G36" s="48"/>
      <c r="H36" s="49"/>
      <c r="I36" s="48"/>
    </row>
    <row r="37" spans="6:8" ht="9.75" customHeight="1">
      <c r="F37" s="43"/>
      <c r="H37" s="43"/>
    </row>
    <row r="38" spans="1:9" ht="15">
      <c r="A38" s="55" t="s">
        <v>60</v>
      </c>
      <c r="F38" s="50"/>
      <c r="G38" s="51"/>
      <c r="H38" s="50"/>
      <c r="I38" s="51"/>
    </row>
    <row r="39" spans="1:9" ht="15">
      <c r="A39" s="56" t="s">
        <v>225</v>
      </c>
      <c r="F39" s="50">
        <f>+H39-(10*0.72)</f>
        <v>0</v>
      </c>
      <c r="G39" s="51">
        <v>0</v>
      </c>
      <c r="H39" s="50">
        <f>10*0.72</f>
        <v>7.199999999999999</v>
      </c>
      <c r="I39" s="51">
        <f>8*0.72</f>
        <v>5.76</v>
      </c>
    </row>
    <row r="40" spans="1:9" ht="15">
      <c r="A40" s="56" t="s">
        <v>314</v>
      </c>
      <c r="F40" s="50">
        <v>0</v>
      </c>
      <c r="G40" s="51">
        <v>0</v>
      </c>
      <c r="H40" s="50">
        <f>8*0.72</f>
        <v>5.76</v>
      </c>
      <c r="I40" s="51">
        <v>0</v>
      </c>
    </row>
    <row r="41" spans="1:9" ht="15">
      <c r="A41" s="56" t="s">
        <v>337</v>
      </c>
      <c r="F41" s="50">
        <f>16*0.72</f>
        <v>11.52</v>
      </c>
      <c r="G41" s="51">
        <v>0</v>
      </c>
      <c r="H41" s="50">
        <f>16*0.72</f>
        <v>11.52</v>
      </c>
      <c r="I41" s="51">
        <v>0</v>
      </c>
    </row>
    <row r="42" spans="1:9" ht="8.25" customHeight="1" thickBot="1">
      <c r="A42" s="86"/>
      <c r="B42" s="48"/>
      <c r="C42" s="48"/>
      <c r="D42" s="48"/>
      <c r="E42" s="48"/>
      <c r="F42" s="49"/>
      <c r="G42" s="48"/>
      <c r="H42" s="49"/>
      <c r="I42" s="48"/>
    </row>
    <row r="44" spans="6:9" ht="15">
      <c r="F44" s="160"/>
      <c r="I44" s="52"/>
    </row>
    <row r="45" spans="6:9" ht="15">
      <c r="F45" s="160"/>
      <c r="I45" s="52"/>
    </row>
    <row r="46" spans="6:9" ht="15" customHeight="1">
      <c r="F46" s="160"/>
      <c r="I46" s="52"/>
    </row>
    <row r="47" spans="6:9" ht="15" customHeight="1">
      <c r="F47" s="160"/>
      <c r="I47" s="52"/>
    </row>
    <row r="48" spans="6:9" ht="15" customHeight="1">
      <c r="F48" s="160"/>
      <c r="I48" s="52"/>
    </row>
    <row r="49" spans="6:9" ht="15" customHeight="1">
      <c r="F49" s="160"/>
      <c r="I49" s="52"/>
    </row>
    <row r="50" spans="6:9" ht="15" customHeight="1">
      <c r="F50" s="160"/>
      <c r="I50" s="52"/>
    </row>
    <row r="51" spans="6:9" ht="15" customHeight="1">
      <c r="F51" s="160"/>
      <c r="I51" s="52"/>
    </row>
    <row r="52" spans="6:9" ht="15" customHeight="1">
      <c r="F52" s="160"/>
      <c r="I52" s="52"/>
    </row>
    <row r="53" ht="20.25" customHeight="1">
      <c r="A53" s="87" t="s">
        <v>271</v>
      </c>
    </row>
    <row r="54" ht="6.75" customHeight="1"/>
  </sheetData>
  <mergeCells count="2">
    <mergeCell ref="F9:G9"/>
    <mergeCell ref="H9:I9"/>
  </mergeCells>
  <printOptions/>
  <pageMargins left="0.75" right="0.49" top="0.86" bottom="0.81" header="0.5" footer="0.5"/>
  <pageSetup horizontalDpi="600" verticalDpi="600" orientation="portrait" paperSize="9" scale="97" r:id="rId1"/>
  <headerFooter alignWithMargins="0">
    <oddHeader>&amp;R&amp;"Arial,Bold"Berjaya Sports Toto Berhad&amp;U
&amp;9&amp;U(&amp;"Arial,Regular"Company No. 9109-K)
Quarterly Report 31-1-2005</oddHeader>
    <oddFooter>&amp;R&amp;"Arial,Bold"    Page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8">
      <selection activeCell="B27" sqref="B27"/>
    </sheetView>
  </sheetViews>
  <sheetFormatPr defaultColWidth="9.140625" defaultRowHeight="12.75"/>
  <cols>
    <col min="1" max="7" width="9.140625" style="2" customWidth="1"/>
    <col min="8" max="8" width="10.8515625" style="2" customWidth="1"/>
    <col min="9" max="9" width="9.140625" style="2" customWidth="1"/>
    <col min="10" max="10" width="7.421875" style="2" customWidth="1"/>
    <col min="11" max="16384" width="9.140625" style="2" customWidth="1"/>
  </cols>
  <sheetData>
    <row r="1" spans="1:10" ht="18.75" customHeight="1">
      <c r="A1" s="191" t="s">
        <v>97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5" customHeight="1">
      <c r="A2" s="192" t="s">
        <v>98</v>
      </c>
      <c r="B2" s="192"/>
      <c r="C2" s="192"/>
      <c r="D2" s="192"/>
      <c r="E2" s="192"/>
      <c r="F2" s="192"/>
      <c r="G2" s="192"/>
      <c r="H2" s="192"/>
      <c r="I2" s="192"/>
      <c r="J2" s="192"/>
    </row>
    <row r="10" spans="1:9" ht="27.75" customHeight="1">
      <c r="A10" s="102" t="s">
        <v>72</v>
      </c>
      <c r="B10" s="193" t="s">
        <v>321</v>
      </c>
      <c r="C10" s="193"/>
      <c r="D10" s="193"/>
      <c r="E10" s="193"/>
      <c r="F10" s="193"/>
      <c r="G10" s="193"/>
      <c r="H10" s="101"/>
      <c r="I10" s="101"/>
    </row>
    <row r="12" spans="2:9" ht="15">
      <c r="B12" s="98" t="s">
        <v>80</v>
      </c>
      <c r="I12" s="69" t="s">
        <v>81</v>
      </c>
    </row>
    <row r="13" ht="9" customHeight="1"/>
    <row r="14" spans="2:9" ht="15">
      <c r="B14" s="2" t="s">
        <v>76</v>
      </c>
      <c r="I14" s="69">
        <v>1</v>
      </c>
    </row>
    <row r="15" ht="9" customHeight="1">
      <c r="I15" s="69"/>
    </row>
    <row r="16" spans="2:9" ht="15">
      <c r="B16" s="2" t="s">
        <v>77</v>
      </c>
      <c r="I16" s="69">
        <v>2</v>
      </c>
    </row>
    <row r="17" ht="9" customHeight="1">
      <c r="I17" s="69"/>
    </row>
    <row r="18" spans="2:9" ht="15">
      <c r="B18" s="2" t="s">
        <v>78</v>
      </c>
      <c r="I18" s="69">
        <v>3</v>
      </c>
    </row>
    <row r="19" ht="9" customHeight="1">
      <c r="I19" s="69"/>
    </row>
    <row r="20" spans="2:9" ht="15">
      <c r="B20" s="2" t="s">
        <v>79</v>
      </c>
      <c r="I20" s="69">
        <v>4</v>
      </c>
    </row>
    <row r="21" ht="9" customHeight="1">
      <c r="I21" s="69"/>
    </row>
    <row r="22" spans="2:9" ht="15">
      <c r="B22" s="2" t="s">
        <v>270</v>
      </c>
      <c r="I22" s="99" t="s">
        <v>277</v>
      </c>
    </row>
    <row r="23" ht="9" customHeight="1">
      <c r="I23" s="69"/>
    </row>
    <row r="24" spans="2:10" ht="15">
      <c r="B24" s="2" t="s">
        <v>247</v>
      </c>
      <c r="J24" s="97"/>
    </row>
    <row r="25" spans="3:9" ht="15">
      <c r="C25" s="2" t="s">
        <v>246</v>
      </c>
      <c r="I25" s="100" t="s">
        <v>286</v>
      </c>
    </row>
  </sheetData>
  <mergeCells count="3">
    <mergeCell ref="A1:J1"/>
    <mergeCell ref="A2:J2"/>
    <mergeCell ref="B10:G10"/>
  </mergeCells>
  <printOptions/>
  <pageMargins left="0.89" right="0.3" top="1" bottom="1" header="0.5" footer="0.5"/>
  <pageSetup firstPageNumber="0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"/>
  <sheetViews>
    <sheetView showGridLines="0" workbookViewId="0" topLeftCell="A1">
      <pane xSplit="3" ySplit="8" topLeftCell="D3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58" sqref="H58"/>
    </sheetView>
  </sheetViews>
  <sheetFormatPr defaultColWidth="9.140625" defaultRowHeight="12.75"/>
  <cols>
    <col min="1" max="2" width="9.140625" style="2" customWidth="1"/>
    <col min="3" max="3" width="10.140625" style="2" customWidth="1"/>
    <col min="4" max="4" width="9.140625" style="2" customWidth="1"/>
    <col min="5" max="5" width="17.421875" style="2" customWidth="1"/>
    <col min="6" max="6" width="12.28125" style="2" customWidth="1"/>
    <col min="7" max="7" width="14.421875" style="2" customWidth="1"/>
    <col min="8" max="8" width="12.7109375" style="28" customWidth="1"/>
    <col min="9" max="9" width="12.140625" style="3" customWidth="1"/>
    <col min="10" max="10" width="2.140625" style="4" customWidth="1"/>
    <col min="11" max="16384" width="9.140625" style="2" customWidth="1"/>
  </cols>
  <sheetData>
    <row r="1" ht="9.75" customHeight="1">
      <c r="H1" s="3"/>
    </row>
    <row r="2" ht="2.25" customHeight="1">
      <c r="H2" s="3"/>
    </row>
    <row r="3" ht="3" customHeight="1" hidden="1">
      <c r="H3" s="3"/>
    </row>
    <row r="4" spans="1:8" ht="12.75" customHeight="1">
      <c r="A4" s="5" t="str">
        <f>PL!A5</f>
        <v>UNAUDITED QUARTERLY FINANCIAL REPORT FOR THE PERIOD ENDED 31 JANUARY 2005</v>
      </c>
      <c r="H4" s="3"/>
    </row>
    <row r="5" spans="1:9" ht="12.75" customHeight="1">
      <c r="A5" s="70" t="s">
        <v>75</v>
      </c>
      <c r="B5" s="6"/>
      <c r="C5" s="6"/>
      <c r="D5" s="6"/>
      <c r="E5" s="6"/>
      <c r="F5" s="6"/>
      <c r="G5" s="6"/>
      <c r="H5" s="7"/>
      <c r="I5" s="7"/>
    </row>
    <row r="6" spans="1:10" ht="14.25" customHeight="1">
      <c r="A6" s="2" t="s">
        <v>9</v>
      </c>
      <c r="G6" s="5"/>
      <c r="H6" s="194" t="s">
        <v>22</v>
      </c>
      <c r="I6" s="194"/>
      <c r="J6" s="8"/>
    </row>
    <row r="7" spans="7:10" ht="13.5" customHeight="1">
      <c r="G7" s="5"/>
      <c r="H7" s="9" t="str">
        <f>+PL!H10</f>
        <v>31-1-2005</v>
      </c>
      <c r="I7" s="9" t="s">
        <v>287</v>
      </c>
      <c r="J7" s="8"/>
    </row>
    <row r="8" spans="1:10" ht="13.5" customHeight="1" thickBot="1">
      <c r="A8" s="10"/>
      <c r="B8" s="10"/>
      <c r="C8" s="10"/>
      <c r="D8" s="10"/>
      <c r="E8" s="10"/>
      <c r="F8" s="10"/>
      <c r="G8" s="1"/>
      <c r="H8" s="11" t="s">
        <v>1</v>
      </c>
      <c r="I8" s="11" t="s">
        <v>1</v>
      </c>
      <c r="J8" s="8"/>
    </row>
    <row r="9" spans="1:10" ht="14.25" customHeight="1">
      <c r="A9" s="8" t="s">
        <v>209</v>
      </c>
      <c r="B9" s="4"/>
      <c r="C9" s="4"/>
      <c r="D9" s="4"/>
      <c r="E9" s="4"/>
      <c r="F9" s="4"/>
      <c r="G9" s="12"/>
      <c r="H9" s="13"/>
      <c r="I9" s="13"/>
      <c r="J9" s="8"/>
    </row>
    <row r="10" spans="1:9" ht="14.25" customHeight="1">
      <c r="A10" s="2" t="s">
        <v>23</v>
      </c>
      <c r="H10" s="14">
        <v>73499</v>
      </c>
      <c r="I10" s="15">
        <v>79453</v>
      </c>
    </row>
    <row r="11" spans="1:9" ht="14.25" customHeight="1">
      <c r="A11" s="2" t="s">
        <v>100</v>
      </c>
      <c r="H11" s="15">
        <v>24905</v>
      </c>
      <c r="I11" s="15">
        <v>23929</v>
      </c>
    </row>
    <row r="12" spans="1:9" ht="14.25" customHeight="1">
      <c r="A12" s="2" t="s">
        <v>86</v>
      </c>
      <c r="H12" s="15">
        <v>56425</v>
      </c>
      <c r="I12" s="15">
        <v>55610</v>
      </c>
    </row>
    <row r="13" spans="1:9" ht="14.25" customHeight="1">
      <c r="A13" s="2" t="s">
        <v>87</v>
      </c>
      <c r="H13" s="15">
        <v>5459</v>
      </c>
      <c r="I13" s="15">
        <v>5711</v>
      </c>
    </row>
    <row r="14" spans="1:9" ht="14.25" customHeight="1">
      <c r="A14" s="2" t="s">
        <v>252</v>
      </c>
      <c r="H14" s="15">
        <v>0</v>
      </c>
      <c r="I14" s="15">
        <v>3504</v>
      </c>
    </row>
    <row r="15" spans="1:9" ht="14.25" customHeight="1">
      <c r="A15" s="2" t="s">
        <v>253</v>
      </c>
      <c r="H15" s="15">
        <v>243</v>
      </c>
      <c r="I15" s="15">
        <v>243</v>
      </c>
    </row>
    <row r="16" spans="1:9" ht="14.25" customHeight="1">
      <c r="A16" s="4" t="s">
        <v>88</v>
      </c>
      <c r="B16" s="4"/>
      <c r="C16" s="4"/>
      <c r="D16" s="4"/>
      <c r="E16" s="4"/>
      <c r="F16" s="4"/>
      <c r="G16" s="4"/>
      <c r="H16" s="15">
        <v>620118</v>
      </c>
      <c r="I16" s="15">
        <v>619768</v>
      </c>
    </row>
    <row r="17" spans="1:9" ht="2.25" customHeight="1">
      <c r="A17" s="4"/>
      <c r="B17" s="4"/>
      <c r="C17" s="4"/>
      <c r="D17" s="4"/>
      <c r="E17" s="4"/>
      <c r="F17" s="4"/>
      <c r="G17" s="4"/>
      <c r="H17" s="15"/>
      <c r="I17" s="15"/>
    </row>
    <row r="18" spans="1:9" ht="14.25" customHeight="1">
      <c r="A18" s="5" t="s">
        <v>10</v>
      </c>
      <c r="H18" s="15"/>
      <c r="I18" s="15"/>
    </row>
    <row r="19" spans="1:10" ht="14.25" customHeight="1">
      <c r="A19" s="2" t="s">
        <v>101</v>
      </c>
      <c r="H19" s="31">
        <v>15722</v>
      </c>
      <c r="I19" s="33">
        <v>18536</v>
      </c>
      <c r="J19" s="17"/>
    </row>
    <row r="20" spans="1:10" ht="14.25" customHeight="1">
      <c r="A20" s="2" t="s">
        <v>254</v>
      </c>
      <c r="H20" s="32">
        <f>35108+31239+1577</f>
        <v>67924</v>
      </c>
      <c r="I20" s="34">
        <v>52168</v>
      </c>
      <c r="J20" s="17"/>
    </row>
    <row r="21" spans="1:10" ht="14.25" customHeight="1">
      <c r="A21" s="2" t="s">
        <v>244</v>
      </c>
      <c r="H21" s="32">
        <v>7760</v>
      </c>
      <c r="I21" s="34">
        <v>1647</v>
      </c>
      <c r="J21" s="17"/>
    </row>
    <row r="22" spans="1:10" ht="14.25" customHeight="1">
      <c r="A22" s="2" t="s">
        <v>255</v>
      </c>
      <c r="H22" s="32">
        <f>371655+421293</f>
        <v>792948</v>
      </c>
      <c r="I22" s="34">
        <v>916292</v>
      </c>
      <c r="J22" s="17"/>
    </row>
    <row r="23" spans="1:10" ht="14.25" customHeight="1">
      <c r="A23" s="2" t="s">
        <v>102</v>
      </c>
      <c r="H23" s="32">
        <v>339747</v>
      </c>
      <c r="I23" s="34">
        <v>265401</v>
      </c>
      <c r="J23" s="17"/>
    </row>
    <row r="24" spans="1:10" ht="14.25" customHeight="1">
      <c r="A24" s="30" t="s">
        <v>11</v>
      </c>
      <c r="B24" s="30"/>
      <c r="C24" s="30"/>
      <c r="D24" s="30"/>
      <c r="E24" s="30"/>
      <c r="F24" s="30"/>
      <c r="G24" s="30"/>
      <c r="H24" s="37">
        <v>15050</v>
      </c>
      <c r="I24" s="35">
        <v>77971</v>
      </c>
      <c r="J24" s="18"/>
    </row>
    <row r="25" spans="1:10" ht="14.25" customHeight="1">
      <c r="A25" s="4"/>
      <c r="B25" s="4"/>
      <c r="C25" s="4"/>
      <c r="D25" s="4"/>
      <c r="E25" s="4"/>
      <c r="F25" s="4"/>
      <c r="G25" s="4"/>
      <c r="H25" s="36">
        <f>SUM(H19:H24)</f>
        <v>1239151</v>
      </c>
      <c r="I25" s="29">
        <f>SUM(I19:I24)</f>
        <v>1332015</v>
      </c>
      <c r="J25" s="17"/>
    </row>
    <row r="26" spans="1:10" ht="14.25" customHeight="1">
      <c r="A26" s="5" t="s">
        <v>12</v>
      </c>
      <c r="H26" s="32"/>
      <c r="I26" s="34"/>
      <c r="J26" s="17"/>
    </row>
    <row r="27" spans="1:10" ht="14.25" customHeight="1">
      <c r="A27" s="2" t="s">
        <v>256</v>
      </c>
      <c r="H27" s="32">
        <f>23795+268702</f>
        <v>292497</v>
      </c>
      <c r="I27" s="34">
        <v>397629</v>
      </c>
      <c r="J27" s="17"/>
    </row>
    <row r="28" spans="1:10" ht="14.25" customHeight="1">
      <c r="A28" s="2" t="s">
        <v>257</v>
      </c>
      <c r="H28" s="32">
        <v>114</v>
      </c>
      <c r="I28" s="34">
        <v>711</v>
      </c>
      <c r="J28" s="17"/>
    </row>
    <row r="29" spans="1:10" ht="14.25" customHeight="1">
      <c r="A29" s="2" t="s">
        <v>13</v>
      </c>
      <c r="H29" s="32">
        <v>3861</v>
      </c>
      <c r="I29" s="34">
        <v>4997</v>
      </c>
      <c r="J29" s="17"/>
    </row>
    <row r="30" spans="1:10" ht="14.25" customHeight="1">
      <c r="A30" s="2" t="s">
        <v>14</v>
      </c>
      <c r="H30" s="32">
        <v>28491</v>
      </c>
      <c r="I30" s="34">
        <v>19836</v>
      </c>
      <c r="J30" s="17"/>
    </row>
    <row r="31" spans="1:10" ht="14.25" customHeight="1">
      <c r="A31" s="4"/>
      <c r="B31" s="4"/>
      <c r="C31" s="4"/>
      <c r="D31" s="4"/>
      <c r="E31" s="4"/>
      <c r="F31" s="4"/>
      <c r="G31" s="4"/>
      <c r="H31" s="36">
        <f>SUM(H27:H30)</f>
        <v>324963</v>
      </c>
      <c r="I31" s="29">
        <f>SUM(I27:I30)</f>
        <v>423173</v>
      </c>
      <c r="J31" s="17"/>
    </row>
    <row r="32" spans="1:10" ht="14.25" customHeight="1">
      <c r="A32" s="106" t="s">
        <v>15</v>
      </c>
      <c r="B32" s="22"/>
      <c r="C32" s="22"/>
      <c r="D32" s="22"/>
      <c r="E32" s="22"/>
      <c r="F32" s="22"/>
      <c r="G32" s="22"/>
      <c r="H32" s="107">
        <f>H25-H31</f>
        <v>914188</v>
      </c>
      <c r="I32" s="107">
        <f>I25-I31</f>
        <v>908842</v>
      </c>
      <c r="J32" s="22"/>
    </row>
    <row r="33" spans="1:10" ht="1.5" customHeight="1">
      <c r="A33" s="19"/>
      <c r="B33" s="20"/>
      <c r="C33" s="20"/>
      <c r="D33" s="20"/>
      <c r="E33" s="20"/>
      <c r="F33" s="20"/>
      <c r="G33" s="20"/>
      <c r="H33" s="21"/>
      <c r="I33" s="21"/>
      <c r="J33" s="22"/>
    </row>
    <row r="34" spans="1:9" ht="14.25" customHeight="1" thickBot="1">
      <c r="A34" s="10"/>
      <c r="B34" s="10"/>
      <c r="C34" s="10"/>
      <c r="D34" s="10"/>
      <c r="E34" s="10"/>
      <c r="F34" s="10"/>
      <c r="G34" s="10"/>
      <c r="H34" s="23">
        <f>SUM(H10:H16)+H32</f>
        <v>1694837</v>
      </c>
      <c r="I34" s="23">
        <f>SUM(I10:I16)+I32</f>
        <v>1697060</v>
      </c>
    </row>
    <row r="35" spans="1:9" ht="15.75" customHeight="1">
      <c r="A35" s="5" t="s">
        <v>16</v>
      </c>
      <c r="H35" s="25"/>
      <c r="I35" s="15"/>
    </row>
    <row r="36" spans="1:9" ht="14.25" customHeight="1">
      <c r="A36" s="2" t="s">
        <v>17</v>
      </c>
      <c r="H36" s="25">
        <f>+SICE!F24</f>
        <v>1040149</v>
      </c>
      <c r="I36" s="15">
        <v>1037588</v>
      </c>
    </row>
    <row r="37" spans="1:9" ht="14.25" customHeight="1">
      <c r="A37" s="2" t="s">
        <v>103</v>
      </c>
      <c r="H37" s="25">
        <v>262120</v>
      </c>
      <c r="I37" s="15">
        <v>261607</v>
      </c>
    </row>
    <row r="38" spans="1:9" ht="14.25" customHeight="1">
      <c r="A38" s="2" t="s">
        <v>104</v>
      </c>
      <c r="H38" s="25">
        <f>+SICE!I24-'BS'!H37-'BS'!H43</f>
        <v>672</v>
      </c>
      <c r="I38" s="15">
        <v>-655</v>
      </c>
    </row>
    <row r="39" spans="1:9" ht="14.25" customHeight="1">
      <c r="A39" s="2" t="s">
        <v>175</v>
      </c>
      <c r="H39" s="15">
        <v>131946</v>
      </c>
      <c r="I39" s="15">
        <v>133134</v>
      </c>
    </row>
    <row r="40" spans="1:9" ht="14.25" customHeight="1">
      <c r="A40" s="2" t="s">
        <v>89</v>
      </c>
      <c r="H40" s="16">
        <f>+SICE!J24</f>
        <v>496838</v>
      </c>
      <c r="I40" s="16">
        <v>367374</v>
      </c>
    </row>
    <row r="41" spans="1:9" ht="14.25" customHeight="1">
      <c r="A41" s="2" t="s">
        <v>177</v>
      </c>
      <c r="H41" s="25">
        <f>SUM(H36:H40)</f>
        <v>1931725</v>
      </c>
      <c r="I41" s="25">
        <f>SUM(I36:I40)</f>
        <v>1799048</v>
      </c>
    </row>
    <row r="42" spans="1:9" ht="14.25" customHeight="1">
      <c r="A42" s="2" t="s">
        <v>105</v>
      </c>
      <c r="H42" s="15">
        <f>+SICE!G24</f>
        <v>-351195</v>
      </c>
      <c r="I42" s="15">
        <v>-215258</v>
      </c>
    </row>
    <row r="43" spans="1:9" ht="14.25" customHeight="1">
      <c r="A43" s="2" t="s">
        <v>160</v>
      </c>
      <c r="H43" s="16">
        <v>-57355</v>
      </c>
      <c r="I43" s="16">
        <v>-57355</v>
      </c>
    </row>
    <row r="44" spans="1:9" ht="14.25" customHeight="1">
      <c r="A44" s="2" t="s">
        <v>183</v>
      </c>
      <c r="H44" s="25">
        <f>SUM(H41:H43)</f>
        <v>1523175</v>
      </c>
      <c r="I44" s="25">
        <f>SUM(I41:I43)</f>
        <v>1526435</v>
      </c>
    </row>
    <row r="45" spans="1:9" ht="14.25" customHeight="1">
      <c r="A45" s="2" t="s">
        <v>258</v>
      </c>
      <c r="H45" s="16">
        <v>6878</v>
      </c>
      <c r="I45" s="16">
        <v>8485</v>
      </c>
    </row>
    <row r="46" spans="1:9" ht="14.25" customHeight="1">
      <c r="A46" s="2" t="s">
        <v>185</v>
      </c>
      <c r="H46" s="25">
        <f>+H44+H45</f>
        <v>1530053</v>
      </c>
      <c r="I46" s="25">
        <f>+I44+I45</f>
        <v>1534920</v>
      </c>
    </row>
    <row r="47" spans="1:9" ht="14.25" customHeight="1">
      <c r="A47" s="2" t="s">
        <v>195</v>
      </c>
      <c r="H47" s="25">
        <v>2017</v>
      </c>
      <c r="I47" s="25">
        <v>1858</v>
      </c>
    </row>
    <row r="48" spans="1:9" ht="14.25" customHeight="1">
      <c r="A48" s="2" t="s">
        <v>236</v>
      </c>
      <c r="H48" s="25">
        <v>15131</v>
      </c>
      <c r="I48" s="25">
        <v>11889</v>
      </c>
    </row>
    <row r="49" spans="1:9" ht="14.25" customHeight="1">
      <c r="A49" s="2" t="s">
        <v>106</v>
      </c>
      <c r="H49" s="25">
        <v>32147</v>
      </c>
      <c r="I49" s="15">
        <v>31528</v>
      </c>
    </row>
    <row r="50" spans="1:9" ht="14.25" customHeight="1">
      <c r="A50" s="2" t="s">
        <v>184</v>
      </c>
      <c r="H50" s="2"/>
      <c r="I50" s="2"/>
    </row>
    <row r="51" spans="1:9" ht="14.25" customHeight="1">
      <c r="A51" s="2" t="s">
        <v>176</v>
      </c>
      <c r="H51" s="25">
        <v>115489</v>
      </c>
      <c r="I51" s="25">
        <v>116865</v>
      </c>
    </row>
    <row r="52" spans="1:12" ht="14.25" customHeight="1" thickBot="1">
      <c r="A52" s="26"/>
      <c r="B52" s="26"/>
      <c r="C52" s="26"/>
      <c r="D52" s="26"/>
      <c r="E52" s="26"/>
      <c r="F52" s="26"/>
      <c r="G52" s="26"/>
      <c r="H52" s="24">
        <f>SUM(H46:H51)</f>
        <v>1694837</v>
      </c>
      <c r="I52" s="24">
        <f>SUM(I46:I51)</f>
        <v>1697060</v>
      </c>
      <c r="K52" s="172">
        <f>ROUND(+H52-H34,0)</f>
        <v>0</v>
      </c>
      <c r="L52" s="171">
        <f>+I52-I34</f>
        <v>0</v>
      </c>
    </row>
    <row r="53" spans="1:9" ht="15.75" customHeight="1">
      <c r="A53" s="2" t="s">
        <v>240</v>
      </c>
      <c r="H53" s="105">
        <f>($H$44-$H$16-H39)/($H$36-73109)</f>
        <v>0.7973930757776307</v>
      </c>
      <c r="I53" s="105">
        <f>($I$44-$I$16-I39)/($I$36-37100)</f>
        <v>0.7731557000183911</v>
      </c>
    </row>
    <row r="54" spans="4:9" ht="15.75" customHeight="1">
      <c r="D54" s="2" t="s">
        <v>181</v>
      </c>
      <c r="H54" s="105">
        <f>($H$44-$H$16)/($H$36-73109+((311364)/1.2))</f>
        <v>0.7362818077308787</v>
      </c>
      <c r="I54" s="105">
        <f>($I$44-$I$16)/($I$36-37100+((313929)/1.2))</f>
        <v>0.718382246034472</v>
      </c>
    </row>
    <row r="55" spans="1:9" ht="14.25" customHeight="1">
      <c r="A55" s="2" t="s">
        <v>85</v>
      </c>
      <c r="D55" s="2" t="s">
        <v>182</v>
      </c>
      <c r="H55" s="105">
        <f>ROUND((+$H$44-H39)/($H$36-73109),2)</f>
        <v>1.44</v>
      </c>
      <c r="I55" s="105">
        <f>(+$I$44-I39)/($I$36-37100)</f>
        <v>1.3926214007564308</v>
      </c>
    </row>
    <row r="56" spans="4:9" ht="14.25" customHeight="1">
      <c r="D56" s="2" t="s">
        <v>181</v>
      </c>
      <c r="H56" s="105">
        <f>ROUND(+$H$44/($H$36-73109+((311364)/1.2)),2)</f>
        <v>1.24</v>
      </c>
      <c r="I56" s="105">
        <f>+$I$44/($I$36-37100+((313929)/1.2))</f>
        <v>1.2094449271073386</v>
      </c>
    </row>
    <row r="57" spans="8:9" ht="2.25" customHeight="1">
      <c r="H57" s="105"/>
      <c r="I57" s="147"/>
    </row>
    <row r="58" spans="1:9" ht="14.25" customHeight="1">
      <c r="A58" s="2" t="s">
        <v>210</v>
      </c>
      <c r="H58" s="105"/>
      <c r="I58" s="147"/>
    </row>
    <row r="59" spans="1:9" ht="14.25" customHeight="1">
      <c r="A59" s="2" t="s">
        <v>190</v>
      </c>
      <c r="H59" s="105"/>
      <c r="I59" s="147"/>
    </row>
    <row r="60" spans="1:9" ht="14.25" customHeight="1">
      <c r="A60" s="2" t="s">
        <v>191</v>
      </c>
      <c r="H60" s="105"/>
      <c r="I60" s="147"/>
    </row>
    <row r="61" spans="1:9" ht="14.25" customHeight="1">
      <c r="A61" s="2" t="s">
        <v>216</v>
      </c>
      <c r="H61" s="105"/>
      <c r="I61" s="147"/>
    </row>
    <row r="62" spans="1:9" ht="14.25" customHeight="1">
      <c r="A62" s="2" t="s">
        <v>316</v>
      </c>
      <c r="H62" s="105"/>
      <c r="I62" s="147"/>
    </row>
    <row r="63" spans="8:9" ht="1.5" customHeight="1">
      <c r="H63" s="105"/>
      <c r="I63" s="147"/>
    </row>
    <row r="64" spans="1:9" ht="14.25" customHeight="1">
      <c r="A64" s="2" t="s">
        <v>211</v>
      </c>
      <c r="H64" s="105"/>
      <c r="I64" s="147"/>
    </row>
    <row r="65" spans="1:9" ht="14.25" customHeight="1">
      <c r="A65" s="2" t="s">
        <v>189</v>
      </c>
      <c r="H65" s="105"/>
      <c r="I65" s="147"/>
    </row>
    <row r="66" spans="1:9" ht="14.25" customHeight="1">
      <c r="A66" s="2" t="s">
        <v>215</v>
      </c>
      <c r="H66" s="105"/>
      <c r="I66" s="147"/>
    </row>
    <row r="67" spans="1:9" ht="13.5" customHeight="1">
      <c r="A67" s="2" t="s">
        <v>317</v>
      </c>
      <c r="H67" s="105"/>
      <c r="I67" s="147"/>
    </row>
    <row r="68" spans="1:9" ht="13.5" customHeight="1">
      <c r="A68" s="5" t="s">
        <v>271</v>
      </c>
      <c r="H68" s="25"/>
      <c r="I68" s="15"/>
    </row>
    <row r="69" spans="8:9" ht="15">
      <c r="H69" s="109">
        <f>ROUND(+H52-H34,0)</f>
        <v>0</v>
      </c>
      <c r="I69" s="109">
        <f>+I52-I34</f>
        <v>0</v>
      </c>
    </row>
  </sheetData>
  <mergeCells count="1">
    <mergeCell ref="H6:I6"/>
  </mergeCells>
  <printOptions/>
  <pageMargins left="0.75" right="0.49" top="0.86" bottom="0.81" header="0.5" footer="0.5"/>
  <pageSetup horizontalDpi="600" verticalDpi="600" orientation="portrait" paperSize="9" scale="82" r:id="rId1"/>
  <headerFooter alignWithMargins="0">
    <oddHeader>&amp;R&amp;"Arial,Bold"Berjaya Sports Toto Berhad&amp;U
&amp;9&amp;U(&amp;"Arial,Regular"Company No. 9109-K)
Quarterly Report 31-1-2005</oddHeader>
    <oddFooter>&amp;R&amp;"Arial,Bold"   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5:M87"/>
  <sheetViews>
    <sheetView showGridLines="0" workbookViewId="0" topLeftCell="A13">
      <selection activeCell="G18" sqref="G18"/>
    </sheetView>
  </sheetViews>
  <sheetFormatPr defaultColWidth="9.140625" defaultRowHeight="12.75"/>
  <cols>
    <col min="1" max="1" width="7.140625" style="2" customWidth="1"/>
    <col min="2" max="3" width="7.8515625" style="2" customWidth="1"/>
    <col min="4" max="4" width="6.421875" style="2" customWidth="1"/>
    <col min="5" max="5" width="3.7109375" style="2" customWidth="1"/>
    <col min="6" max="6" width="10.140625" style="2" customWidth="1"/>
    <col min="7" max="7" width="9.7109375" style="27" customWidth="1"/>
    <col min="8" max="8" width="13.00390625" style="27" customWidth="1"/>
    <col min="9" max="10" width="10.8515625" style="2" customWidth="1"/>
    <col min="11" max="11" width="10.140625" style="2" customWidth="1"/>
    <col min="12" max="16384" width="9.140625" style="2" customWidth="1"/>
  </cols>
  <sheetData>
    <row r="4" ht="10.5" customHeight="1"/>
    <row r="5" ht="15">
      <c r="A5" s="5" t="str">
        <f>PL!A5</f>
        <v>UNAUDITED QUARTERLY FINANCIAL REPORT FOR THE PERIOD ENDED 31 JANUARY 2005</v>
      </c>
    </row>
    <row r="6" ht="5.25" customHeight="1"/>
    <row r="7" ht="15">
      <c r="A7" s="5" t="s">
        <v>84</v>
      </c>
    </row>
    <row r="8" ht="15">
      <c r="A8" s="5"/>
    </row>
    <row r="9" ht="15">
      <c r="A9" s="5"/>
    </row>
    <row r="10" spans="1:10" ht="15">
      <c r="A10" s="5"/>
      <c r="G10" s="97"/>
      <c r="H10" s="2"/>
      <c r="I10" s="197" t="s">
        <v>214</v>
      </c>
      <c r="J10" s="197"/>
    </row>
    <row r="11" spans="6:11" ht="15">
      <c r="F11" s="95" t="s">
        <v>70</v>
      </c>
      <c r="G11" s="95" t="s">
        <v>107</v>
      </c>
      <c r="H11" s="148" t="s">
        <v>193</v>
      </c>
      <c r="I11" s="95" t="s">
        <v>18</v>
      </c>
      <c r="J11" s="96"/>
      <c r="K11" s="95"/>
    </row>
    <row r="12" spans="6:11" ht="15">
      <c r="F12" s="95" t="s">
        <v>71</v>
      </c>
      <c r="G12" s="95" t="s">
        <v>108</v>
      </c>
      <c r="H12" s="148" t="s">
        <v>192</v>
      </c>
      <c r="I12" s="95" t="s">
        <v>21</v>
      </c>
      <c r="J12" s="95" t="s">
        <v>19</v>
      </c>
      <c r="K12" s="95" t="s">
        <v>20</v>
      </c>
    </row>
    <row r="13" spans="6:11" ht="15">
      <c r="F13" s="95" t="s">
        <v>1</v>
      </c>
      <c r="G13" s="95" t="s">
        <v>1</v>
      </c>
      <c r="H13" s="95" t="s">
        <v>1</v>
      </c>
      <c r="I13" s="95" t="s">
        <v>1</v>
      </c>
      <c r="J13" s="95" t="s">
        <v>1</v>
      </c>
      <c r="K13" s="95" t="s">
        <v>1</v>
      </c>
    </row>
    <row r="14" ht="15">
      <c r="F14" s="27"/>
    </row>
    <row r="15" spans="1:11" ht="15">
      <c r="A15" s="158" t="s">
        <v>259</v>
      </c>
      <c r="B15" s="132"/>
      <c r="C15" s="132"/>
      <c r="F15" s="78">
        <v>1037588</v>
      </c>
      <c r="G15" s="78">
        <v>-215258</v>
      </c>
      <c r="H15" s="78">
        <v>133134</v>
      </c>
      <c r="I15" s="78">
        <f>261607-57355-655</f>
        <v>203597</v>
      </c>
      <c r="J15" s="78">
        <v>367374</v>
      </c>
      <c r="K15" s="78">
        <f>SUM(F15:J15)</f>
        <v>1526435</v>
      </c>
    </row>
    <row r="16" spans="1:11" ht="15">
      <c r="A16" s="138" t="s">
        <v>157</v>
      </c>
      <c r="B16" s="132"/>
      <c r="C16" s="132"/>
      <c r="F16" s="78">
        <v>2561</v>
      </c>
      <c r="G16" s="76">
        <v>0</v>
      </c>
      <c r="H16" s="52">
        <v>0</v>
      </c>
      <c r="I16" s="65">
        <v>513</v>
      </c>
      <c r="J16" s="39">
        <v>0</v>
      </c>
      <c r="K16" s="39">
        <f>SUM(F16:J16)</f>
        <v>3074</v>
      </c>
    </row>
    <row r="17" spans="1:11" ht="15">
      <c r="A17" s="138" t="s">
        <v>194</v>
      </c>
      <c r="B17" s="132"/>
      <c r="C17" s="132"/>
      <c r="F17" s="78">
        <v>0</v>
      </c>
      <c r="G17" s="76">
        <v>0</v>
      </c>
      <c r="H17" s="52">
        <v>-1188</v>
      </c>
      <c r="I17" s="65">
        <v>0</v>
      </c>
      <c r="J17" s="39">
        <v>0</v>
      </c>
      <c r="K17" s="39">
        <f>SUM(F17:J17)</f>
        <v>-1188</v>
      </c>
    </row>
    <row r="18" spans="1:11" ht="15">
      <c r="A18" s="4" t="s">
        <v>158</v>
      </c>
      <c r="B18" s="4"/>
      <c r="C18" s="4"/>
      <c r="D18" s="4"/>
      <c r="E18" s="4"/>
      <c r="F18" s="78">
        <v>0</v>
      </c>
      <c r="G18" s="78">
        <f>-129885-6052</f>
        <v>-135937</v>
      </c>
      <c r="H18" s="52">
        <v>0</v>
      </c>
      <c r="I18" s="65">
        <v>0</v>
      </c>
      <c r="J18" s="65">
        <v>0</v>
      </c>
      <c r="K18" s="39">
        <f>SUM(F18:J18)</f>
        <v>-135937</v>
      </c>
    </row>
    <row r="19" spans="1:11" ht="15">
      <c r="A19" s="4" t="s">
        <v>148</v>
      </c>
      <c r="B19" s="4"/>
      <c r="C19" s="4"/>
      <c r="D19" s="4"/>
      <c r="E19" s="4"/>
      <c r="F19" s="78"/>
      <c r="G19" s="78"/>
      <c r="H19" s="52"/>
      <c r="I19" s="65"/>
      <c r="J19" s="65"/>
      <c r="K19" s="39"/>
    </row>
    <row r="20" spans="1:11" ht="15">
      <c r="A20" s="4"/>
      <c r="B20" s="4" t="s">
        <v>149</v>
      </c>
      <c r="C20" s="4"/>
      <c r="D20" s="4"/>
      <c r="E20" s="4"/>
      <c r="F20" s="78">
        <v>0</v>
      </c>
      <c r="G20" s="78">
        <v>0</v>
      </c>
      <c r="H20" s="52">
        <v>0</v>
      </c>
      <c r="I20" s="65">
        <v>1327</v>
      </c>
      <c r="J20" s="65">
        <v>0</v>
      </c>
      <c r="K20" s="39">
        <f>SUM(F20:J20)</f>
        <v>1327</v>
      </c>
    </row>
    <row r="21" spans="1:11" ht="15">
      <c r="A21" s="4" t="s">
        <v>226</v>
      </c>
      <c r="B21" s="4"/>
      <c r="C21" s="4"/>
      <c r="D21" s="4"/>
      <c r="E21" s="4"/>
      <c r="F21" s="78">
        <v>0</v>
      </c>
      <c r="G21" s="78">
        <v>0</v>
      </c>
      <c r="H21" s="52">
        <v>0</v>
      </c>
      <c r="I21" s="65">
        <v>0</v>
      </c>
      <c r="J21" s="65">
        <v>-126247</v>
      </c>
      <c r="K21" s="39">
        <f>SUM(F21:J21)</f>
        <v>-126247</v>
      </c>
    </row>
    <row r="22" spans="1:11" ht="15">
      <c r="A22" s="6" t="s">
        <v>308</v>
      </c>
      <c r="B22" s="6"/>
      <c r="C22" s="6"/>
      <c r="D22" s="6"/>
      <c r="E22" s="6"/>
      <c r="F22" s="93">
        <v>0</v>
      </c>
      <c r="G22" s="93">
        <v>0</v>
      </c>
      <c r="H22" s="146">
        <v>0</v>
      </c>
      <c r="I22" s="44">
        <v>0</v>
      </c>
      <c r="J22" s="44">
        <f>+PL!H29</f>
        <v>255711</v>
      </c>
      <c r="K22" s="44">
        <f>SUM(I22:J22)</f>
        <v>255711</v>
      </c>
    </row>
    <row r="23" spans="6:11" ht="3.75" customHeight="1">
      <c r="F23" s="27"/>
      <c r="H23" s="52"/>
      <c r="I23" s="39"/>
      <c r="J23" s="39"/>
      <c r="K23" s="39"/>
    </row>
    <row r="24" spans="1:11" ht="15">
      <c r="A24" s="179" t="s">
        <v>338</v>
      </c>
      <c r="C24" s="132"/>
      <c r="F24" s="39">
        <f aca="true" t="shared" si="0" ref="F24:K24">SUM(F15:F22)</f>
        <v>1040149</v>
      </c>
      <c r="G24" s="39">
        <f t="shared" si="0"/>
        <v>-351195</v>
      </c>
      <c r="H24" s="39">
        <f t="shared" si="0"/>
        <v>131946</v>
      </c>
      <c r="I24" s="39">
        <f t="shared" si="0"/>
        <v>205437</v>
      </c>
      <c r="J24" s="39">
        <f t="shared" si="0"/>
        <v>496838</v>
      </c>
      <c r="K24" s="39">
        <f t="shared" si="0"/>
        <v>1523175</v>
      </c>
    </row>
    <row r="25" spans="1:11" ht="4.5" customHeight="1">
      <c r="A25" s="6"/>
      <c r="B25" s="6"/>
      <c r="C25" s="6"/>
      <c r="D25" s="6"/>
      <c r="E25" s="6"/>
      <c r="F25" s="92"/>
      <c r="G25" s="92"/>
      <c r="H25" s="146"/>
      <c r="I25" s="44"/>
      <c r="J25" s="44"/>
      <c r="K25" s="44"/>
    </row>
    <row r="26" spans="6:11" ht="15">
      <c r="F26" s="27"/>
      <c r="H26" s="52"/>
      <c r="I26" s="39"/>
      <c r="J26" s="39"/>
      <c r="K26" s="39"/>
    </row>
    <row r="27" spans="1:11" ht="4.5" customHeight="1">
      <c r="A27" s="4"/>
      <c r="B27" s="4"/>
      <c r="C27" s="4"/>
      <c r="D27" s="4"/>
      <c r="E27" s="4"/>
      <c r="F27" s="4"/>
      <c r="G27" s="59"/>
      <c r="H27" s="52"/>
      <c r="I27" s="65"/>
      <c r="J27" s="65"/>
      <c r="K27" s="65"/>
    </row>
    <row r="28" spans="1:11" ht="16.5" customHeight="1">
      <c r="A28" s="195"/>
      <c r="B28" s="195"/>
      <c r="C28" s="4"/>
      <c r="D28" s="4"/>
      <c r="E28" s="4"/>
      <c r="F28" s="4"/>
      <c r="G28" s="59"/>
      <c r="H28" s="52"/>
      <c r="I28" s="65"/>
      <c r="J28" s="65"/>
      <c r="K28" s="65"/>
    </row>
    <row r="29" spans="1:11" ht="15" customHeight="1">
      <c r="A29" s="132" t="s">
        <v>260</v>
      </c>
      <c r="B29" s="132"/>
      <c r="C29" s="132"/>
      <c r="D29" s="4"/>
      <c r="E29" s="4"/>
      <c r="F29" s="65">
        <v>801315</v>
      </c>
      <c r="G29" s="151">
        <v>-206089</v>
      </c>
      <c r="H29" s="52">
        <v>240702</v>
      </c>
      <c r="I29" s="65">
        <v>157819</v>
      </c>
      <c r="J29" s="65">
        <v>580027</v>
      </c>
      <c r="K29" s="65">
        <f>SUM(F29:J29)</f>
        <v>1573774</v>
      </c>
    </row>
    <row r="30" spans="1:11" ht="15">
      <c r="A30" s="138" t="s">
        <v>157</v>
      </c>
      <c r="B30" s="132"/>
      <c r="C30" s="132"/>
      <c r="F30" s="39">
        <v>144897</v>
      </c>
      <c r="G30" s="39">
        <v>0</v>
      </c>
      <c r="H30" s="39">
        <v>0</v>
      </c>
      <c r="I30" s="39">
        <v>47886</v>
      </c>
      <c r="J30" s="73">
        <v>0</v>
      </c>
      <c r="K30" s="39">
        <f>SUM(F30:J30)</f>
        <v>192783</v>
      </c>
    </row>
    <row r="31" spans="1:11" ht="15">
      <c r="A31" s="4" t="s">
        <v>158</v>
      </c>
      <c r="B31" s="4"/>
      <c r="C31" s="4"/>
      <c r="F31" s="39">
        <v>0</v>
      </c>
      <c r="G31" s="39">
        <v>-9169</v>
      </c>
      <c r="H31" s="39">
        <v>0</v>
      </c>
      <c r="I31" s="39">
        <v>0</v>
      </c>
      <c r="J31" s="73">
        <v>0</v>
      </c>
      <c r="K31" s="39">
        <f aca="true" t="shared" si="1" ref="K31:K37">SUM(F31:J31)</f>
        <v>-9169</v>
      </c>
    </row>
    <row r="32" spans="1:11" ht="15">
      <c r="A32" s="4" t="s">
        <v>194</v>
      </c>
      <c r="B32" s="4"/>
      <c r="C32" s="4"/>
      <c r="F32" s="39">
        <v>0</v>
      </c>
      <c r="G32" s="39">
        <v>0</v>
      </c>
      <c r="H32" s="39">
        <v>-65979</v>
      </c>
      <c r="I32" s="39">
        <v>0</v>
      </c>
      <c r="J32" s="73">
        <v>0</v>
      </c>
      <c r="K32" s="39">
        <f t="shared" si="1"/>
        <v>-65979</v>
      </c>
    </row>
    <row r="33" spans="1:11" ht="15">
      <c r="A33" s="4" t="s">
        <v>159</v>
      </c>
      <c r="B33" s="4"/>
      <c r="C33" s="4"/>
      <c r="F33" s="39">
        <v>0</v>
      </c>
      <c r="G33" s="39">
        <v>0</v>
      </c>
      <c r="H33" s="39">
        <v>0</v>
      </c>
      <c r="I33" s="39">
        <v>-22007</v>
      </c>
      <c r="J33" s="73">
        <v>0</v>
      </c>
      <c r="K33" s="39">
        <f t="shared" si="1"/>
        <v>-22007</v>
      </c>
    </row>
    <row r="34" spans="1:11" ht="15">
      <c r="A34" s="4" t="s">
        <v>148</v>
      </c>
      <c r="B34" s="4"/>
      <c r="C34" s="4"/>
      <c r="F34" s="39"/>
      <c r="G34" s="39"/>
      <c r="H34" s="39"/>
      <c r="I34" s="39"/>
      <c r="J34" s="73"/>
      <c r="K34" s="39"/>
    </row>
    <row r="35" spans="1:11" ht="15">
      <c r="A35" s="4"/>
      <c r="B35" s="4" t="s">
        <v>149</v>
      </c>
      <c r="C35" s="4"/>
      <c r="F35" s="39">
        <v>0</v>
      </c>
      <c r="G35" s="39">
        <v>0</v>
      </c>
      <c r="H35" s="39">
        <v>0</v>
      </c>
      <c r="I35" s="39">
        <v>-1138</v>
      </c>
      <c r="J35" s="73">
        <v>0</v>
      </c>
      <c r="K35" s="39">
        <f t="shared" si="1"/>
        <v>-1138</v>
      </c>
    </row>
    <row r="36" spans="1:11" ht="15">
      <c r="A36" s="4" t="s">
        <v>297</v>
      </c>
      <c r="B36" s="4"/>
      <c r="C36" s="4"/>
      <c r="F36" s="39">
        <v>0</v>
      </c>
      <c r="G36" s="39">
        <v>0</v>
      </c>
      <c r="H36" s="39">
        <v>0</v>
      </c>
      <c r="I36" s="39">
        <v>0</v>
      </c>
      <c r="J36" s="73">
        <v>-205493</v>
      </c>
      <c r="K36" s="39">
        <f t="shared" si="1"/>
        <v>-205493</v>
      </c>
    </row>
    <row r="37" spans="1:11" ht="15">
      <c r="A37" s="6" t="s">
        <v>308</v>
      </c>
      <c r="B37" s="6"/>
      <c r="C37" s="6"/>
      <c r="D37" s="6"/>
      <c r="E37" s="6"/>
      <c r="F37" s="44">
        <v>0</v>
      </c>
      <c r="G37" s="44">
        <v>0</v>
      </c>
      <c r="H37" s="44">
        <v>0</v>
      </c>
      <c r="I37" s="44">
        <v>0</v>
      </c>
      <c r="J37" s="159">
        <f>+PL!I29</f>
        <v>229498</v>
      </c>
      <c r="K37" s="44">
        <f t="shared" si="1"/>
        <v>229498</v>
      </c>
    </row>
    <row r="38" spans="6:11" ht="4.5" customHeight="1">
      <c r="F38" s="39"/>
      <c r="G38" s="39"/>
      <c r="H38" s="39"/>
      <c r="I38" s="39"/>
      <c r="J38" s="73"/>
      <c r="K38" s="39"/>
    </row>
    <row r="39" spans="1:11" ht="15">
      <c r="A39" s="179" t="s">
        <v>339</v>
      </c>
      <c r="C39"/>
      <c r="F39" s="39">
        <f aca="true" t="shared" si="2" ref="F39:K39">SUM(F29:F37)</f>
        <v>946212</v>
      </c>
      <c r="G39" s="39">
        <f t="shared" si="2"/>
        <v>-215258</v>
      </c>
      <c r="H39" s="39">
        <f t="shared" si="2"/>
        <v>174723</v>
      </c>
      <c r="I39" s="39">
        <f t="shared" si="2"/>
        <v>182560</v>
      </c>
      <c r="J39" s="39">
        <f t="shared" si="2"/>
        <v>604032</v>
      </c>
      <c r="K39" s="39">
        <f t="shared" si="2"/>
        <v>1692269</v>
      </c>
    </row>
    <row r="40" spans="1:11" ht="5.25" customHeight="1">
      <c r="A40" s="6"/>
      <c r="B40" s="6"/>
      <c r="C40" s="6"/>
      <c r="D40" s="6"/>
      <c r="E40" s="6"/>
      <c r="F40" s="44"/>
      <c r="G40" s="44"/>
      <c r="H40" s="44"/>
      <c r="I40" s="44"/>
      <c r="J40" s="133"/>
      <c r="K40" s="44"/>
    </row>
    <row r="41" spans="6:11" ht="15">
      <c r="F41" s="39"/>
      <c r="G41" s="39"/>
      <c r="H41" s="39"/>
      <c r="I41" s="39"/>
      <c r="J41" s="73"/>
      <c r="K41" s="39"/>
    </row>
    <row r="42" spans="1:11" ht="15">
      <c r="A42" s="196"/>
      <c r="B42" s="195"/>
      <c r="F42" s="39"/>
      <c r="G42" s="39"/>
      <c r="H42" s="39"/>
      <c r="I42" s="39"/>
      <c r="J42" s="73"/>
      <c r="K42" s="39"/>
    </row>
    <row r="43" spans="1:11" ht="15">
      <c r="A43" s="69"/>
      <c r="F43" s="39"/>
      <c r="G43" s="39"/>
      <c r="H43" s="39"/>
      <c r="I43" s="39"/>
      <c r="J43" s="73"/>
      <c r="K43" s="39"/>
    </row>
    <row r="44" spans="1:11" ht="15">
      <c r="A44" s="69"/>
      <c r="F44" s="39"/>
      <c r="G44" s="39"/>
      <c r="H44" s="39"/>
      <c r="I44" s="39"/>
      <c r="J44" s="73"/>
      <c r="K44" s="39"/>
    </row>
    <row r="45" spans="6:11" ht="15">
      <c r="F45" s="39"/>
      <c r="G45" s="39"/>
      <c r="H45" s="39"/>
      <c r="I45" s="39"/>
      <c r="J45" s="73"/>
      <c r="K45" s="39"/>
    </row>
    <row r="46" spans="6:11" ht="15">
      <c r="F46" s="39"/>
      <c r="G46" s="39"/>
      <c r="H46" s="39"/>
      <c r="I46" s="39"/>
      <c r="J46" s="73"/>
      <c r="K46" s="39"/>
    </row>
    <row r="47" spans="6:11" ht="15">
      <c r="F47" s="39"/>
      <c r="G47" s="39"/>
      <c r="H47" s="39"/>
      <c r="I47" s="39"/>
      <c r="J47" s="73"/>
      <c r="K47" s="39"/>
    </row>
    <row r="48" spans="6:11" ht="15">
      <c r="F48" s="39"/>
      <c r="G48" s="39"/>
      <c r="H48" s="39"/>
      <c r="I48" s="39"/>
      <c r="J48" s="73"/>
      <c r="K48" s="39"/>
    </row>
    <row r="49" spans="6:11" ht="15">
      <c r="F49" s="39"/>
      <c r="G49" s="39"/>
      <c r="H49" s="39"/>
      <c r="I49" s="39"/>
      <c r="J49" s="73"/>
      <c r="K49" s="39"/>
    </row>
    <row r="50" spans="6:11" ht="15">
      <c r="F50" s="39"/>
      <c r="G50" s="39"/>
      <c r="H50" s="39"/>
      <c r="I50" s="39"/>
      <c r="J50" s="73"/>
      <c r="K50" s="39"/>
    </row>
    <row r="51" spans="1:11" ht="15">
      <c r="A51" s="69"/>
      <c r="F51" s="39"/>
      <c r="G51" s="39"/>
      <c r="H51" s="39"/>
      <c r="I51" s="39"/>
      <c r="J51" s="73"/>
      <c r="K51" s="39"/>
    </row>
    <row r="52" spans="6:11" ht="15">
      <c r="F52" s="39"/>
      <c r="G52" s="52"/>
      <c r="H52" s="52"/>
      <c r="I52" s="39"/>
      <c r="J52" s="39"/>
      <c r="K52" s="39"/>
    </row>
    <row r="53" spans="6:11" ht="15.75" customHeight="1">
      <c r="F53" s="39"/>
      <c r="G53" s="52"/>
      <c r="H53" s="52"/>
      <c r="I53" s="39"/>
      <c r="J53" s="39"/>
      <c r="K53" s="39"/>
    </row>
    <row r="54" spans="1:11" ht="15">
      <c r="A54" s="5" t="s">
        <v>271</v>
      </c>
      <c r="F54" s="39"/>
      <c r="G54" s="52"/>
      <c r="H54" s="52"/>
      <c r="I54" s="39"/>
      <c r="J54" s="39"/>
      <c r="K54" s="39"/>
    </row>
    <row r="55" spans="6:11" ht="11.25" customHeight="1">
      <c r="F55" s="39"/>
      <c r="G55" s="52"/>
      <c r="H55" s="52"/>
      <c r="I55" s="39"/>
      <c r="J55" s="39"/>
      <c r="K55" s="39"/>
    </row>
    <row r="56" spans="6:11" ht="15">
      <c r="F56" s="39"/>
      <c r="G56" s="52"/>
      <c r="H56" s="52"/>
      <c r="I56" s="39"/>
      <c r="J56" s="39"/>
      <c r="K56" s="39"/>
    </row>
    <row r="57" spans="6:13" ht="15">
      <c r="F57" s="39"/>
      <c r="G57" s="52"/>
      <c r="H57" s="52"/>
      <c r="I57" s="39"/>
      <c r="J57" s="39"/>
      <c r="K57" s="52"/>
      <c r="L57" s="27"/>
      <c r="M57" s="27" t="s">
        <v>25</v>
      </c>
    </row>
    <row r="58" spans="6:11" ht="15">
      <c r="F58" s="39"/>
      <c r="G58" s="52"/>
      <c r="H58" s="52"/>
      <c r="I58" s="39"/>
      <c r="J58" s="39"/>
      <c r="K58" s="39"/>
    </row>
    <row r="59" spans="6:11" ht="15">
      <c r="F59" s="39"/>
      <c r="G59" s="52"/>
      <c r="H59" s="52"/>
      <c r="I59" s="39"/>
      <c r="J59" s="39"/>
      <c r="K59" s="39"/>
    </row>
    <row r="60" spans="6:11" ht="15">
      <c r="F60" s="39"/>
      <c r="G60" s="52"/>
      <c r="H60" s="52"/>
      <c r="I60" s="39"/>
      <c r="J60" s="39"/>
      <c r="K60" s="39"/>
    </row>
    <row r="61" spans="6:11" ht="15">
      <c r="F61" s="39"/>
      <c r="G61" s="52"/>
      <c r="H61" s="52"/>
      <c r="I61" s="39"/>
      <c r="J61" s="39"/>
      <c r="K61" s="39"/>
    </row>
    <row r="62" spans="6:11" ht="15">
      <c r="F62" s="39"/>
      <c r="G62" s="52"/>
      <c r="H62" s="52"/>
      <c r="I62" s="39"/>
      <c r="J62" s="39"/>
      <c r="K62" s="39"/>
    </row>
    <row r="63" spans="9:11" ht="15">
      <c r="I63" s="39"/>
      <c r="J63" s="39"/>
      <c r="K63" s="39"/>
    </row>
    <row r="64" spans="9:11" ht="15">
      <c r="I64" s="39"/>
      <c r="J64" s="39"/>
      <c r="K64" s="39"/>
    </row>
    <row r="65" spans="9:11" ht="15">
      <c r="I65" s="39"/>
      <c r="J65" s="39"/>
      <c r="K65" s="39"/>
    </row>
    <row r="66" spans="9:11" ht="15">
      <c r="I66" s="39"/>
      <c r="J66" s="39"/>
      <c r="K66" s="39"/>
    </row>
    <row r="67" spans="9:11" ht="15">
      <c r="I67" s="39"/>
      <c r="J67" s="39"/>
      <c r="K67" s="39"/>
    </row>
    <row r="68" spans="9:11" ht="15">
      <c r="I68" s="39"/>
      <c r="J68" s="39"/>
      <c r="K68" s="39"/>
    </row>
    <row r="69" spans="9:11" ht="15">
      <c r="I69" s="39"/>
      <c r="J69" s="39"/>
      <c r="K69" s="39"/>
    </row>
    <row r="70" spans="9:11" ht="15">
      <c r="I70" s="39"/>
      <c r="J70" s="39"/>
      <c r="K70" s="39"/>
    </row>
    <row r="71" spans="9:11" ht="15">
      <c r="I71" s="39"/>
      <c r="J71" s="39"/>
      <c r="K71" s="39"/>
    </row>
    <row r="72" spans="9:11" ht="15">
      <c r="I72" s="39"/>
      <c r="J72" s="39"/>
      <c r="K72" s="39"/>
    </row>
    <row r="73" spans="9:11" ht="15">
      <c r="I73" s="39"/>
      <c r="J73" s="39"/>
      <c r="K73" s="39"/>
    </row>
    <row r="74" spans="9:11" ht="15">
      <c r="I74" s="39"/>
      <c r="J74" s="39"/>
      <c r="K74" s="39"/>
    </row>
    <row r="75" spans="9:11" ht="15">
      <c r="I75" s="39"/>
      <c r="J75" s="39"/>
      <c r="K75" s="39"/>
    </row>
    <row r="76" spans="9:11" ht="15">
      <c r="I76" s="39"/>
      <c r="J76" s="39"/>
      <c r="K76" s="39"/>
    </row>
    <row r="77" spans="9:11" ht="15">
      <c r="I77" s="39"/>
      <c r="J77" s="39"/>
      <c r="K77" s="39"/>
    </row>
    <row r="78" spans="9:11" ht="15">
      <c r="I78" s="39"/>
      <c r="J78" s="39"/>
      <c r="K78" s="39"/>
    </row>
    <row r="79" spans="9:11" ht="15">
      <c r="I79" s="39"/>
      <c r="J79" s="39"/>
      <c r="K79" s="39"/>
    </row>
    <row r="80" spans="9:11" ht="15">
      <c r="I80" s="39"/>
      <c r="J80" s="39"/>
      <c r="K80" s="39"/>
    </row>
    <row r="81" spans="9:11" ht="15">
      <c r="I81" s="39"/>
      <c r="J81" s="39"/>
      <c r="K81" s="39"/>
    </row>
    <row r="82" spans="9:11" ht="15">
      <c r="I82" s="39"/>
      <c r="J82" s="39"/>
      <c r="K82" s="39"/>
    </row>
    <row r="83" spans="9:11" ht="15">
      <c r="I83" s="39"/>
      <c r="J83" s="39"/>
      <c r="K83" s="39"/>
    </row>
    <row r="84" spans="9:11" ht="15">
      <c r="I84" s="39"/>
      <c r="J84" s="39"/>
      <c r="K84" s="39"/>
    </row>
    <row r="85" spans="9:11" ht="15">
      <c r="I85" s="39"/>
      <c r="J85" s="39"/>
      <c r="K85" s="39"/>
    </row>
    <row r="86" spans="9:11" ht="15">
      <c r="I86" s="39"/>
      <c r="J86" s="39"/>
      <c r="K86" s="39"/>
    </row>
    <row r="87" spans="9:11" ht="15">
      <c r="I87" s="39"/>
      <c r="J87" s="39"/>
      <c r="K87" s="39"/>
    </row>
  </sheetData>
  <mergeCells count="3">
    <mergeCell ref="A28:B28"/>
    <mergeCell ref="A42:B42"/>
    <mergeCell ref="I10:J10"/>
  </mergeCells>
  <printOptions/>
  <pageMargins left="0.75" right="0.49" top="0.86" bottom="0.81" header="0.5" footer="0.5"/>
  <pageSetup horizontalDpi="600" verticalDpi="600" orientation="portrait" paperSize="9" scale="93" r:id="rId1"/>
  <headerFooter alignWithMargins="0">
    <oddHeader>&amp;R&amp;"Arial,Bold"Berjaya Sports Toto Berhad&amp;U
&amp;9&amp;U(&amp;"Arial,Regular"Company No. 9109-K)
Quarter Report 31-1-2005</oddHeader>
    <oddFooter>&amp;R&amp;"Arial,Bold"    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K61"/>
  <sheetViews>
    <sheetView showGridLines="0" workbookViewId="0" topLeftCell="A23">
      <selection activeCell="A40" sqref="A40"/>
    </sheetView>
  </sheetViews>
  <sheetFormatPr defaultColWidth="9.140625" defaultRowHeight="12.75"/>
  <cols>
    <col min="1" max="1" width="10.140625" style="2" bestFit="1" customWidth="1"/>
    <col min="2" max="2" width="9.140625" style="2" customWidth="1"/>
    <col min="3" max="3" width="8.57421875" style="2" customWidth="1"/>
    <col min="4" max="6" width="9.140625" style="2" customWidth="1"/>
    <col min="7" max="7" width="8.421875" style="2" customWidth="1"/>
    <col min="8" max="8" width="14.7109375" style="2" customWidth="1"/>
    <col min="9" max="9" width="0.85546875" style="2" customWidth="1"/>
    <col min="10" max="10" width="14.7109375" style="68" customWidth="1"/>
    <col min="11" max="16384" width="9.140625" style="2" customWidth="1"/>
  </cols>
  <sheetData>
    <row r="2" ht="12.75" customHeight="1"/>
    <row r="3" ht="0.75" customHeight="1" hidden="1"/>
    <row r="4" ht="15">
      <c r="A4" s="5" t="str">
        <f>PL!A5</f>
        <v>UNAUDITED QUARTERLY FINANCIAL REPORT FOR THE PERIOD ENDED 31 JANUARY 2005</v>
      </c>
    </row>
    <row r="5" spans="1:10" s="4" customFormat="1" ht="15.75" thickBot="1">
      <c r="A5" s="144" t="s">
        <v>83</v>
      </c>
      <c r="B5" s="10"/>
      <c r="C5" s="10"/>
      <c r="D5" s="10"/>
      <c r="E5" s="10"/>
      <c r="F5" s="10"/>
      <c r="G5" s="10"/>
      <c r="H5" s="10"/>
      <c r="I5" s="10"/>
      <c r="J5" s="145"/>
    </row>
    <row r="6" spans="1:10" ht="15">
      <c r="A6" s="4"/>
      <c r="B6" s="4"/>
      <c r="C6" s="4"/>
      <c r="D6" s="4"/>
      <c r="E6" s="4"/>
      <c r="F6" s="4"/>
      <c r="G6" s="4"/>
      <c r="H6" s="12" t="s">
        <v>341</v>
      </c>
      <c r="I6" s="12"/>
      <c r="J6" s="12" t="str">
        <f>+H6</f>
        <v>9-month ended</v>
      </c>
    </row>
    <row r="7" spans="1:10" ht="15">
      <c r="A7" s="4"/>
      <c r="B7" s="4"/>
      <c r="C7" s="4"/>
      <c r="D7" s="4"/>
      <c r="E7" s="4"/>
      <c r="F7" s="4"/>
      <c r="G7" s="4"/>
      <c r="H7" s="169" t="str">
        <f>+PL!H10</f>
        <v>31-1-2005</v>
      </c>
      <c r="I7" s="12"/>
      <c r="J7" s="12" t="str">
        <f>+PL!I10</f>
        <v>31-1-2004</v>
      </c>
    </row>
    <row r="8" spans="1:10" ht="17.25" customHeight="1" thickBot="1">
      <c r="A8" s="10"/>
      <c r="B8" s="10"/>
      <c r="C8" s="10"/>
      <c r="D8" s="10"/>
      <c r="E8" s="10"/>
      <c r="F8" s="10"/>
      <c r="G8" s="10"/>
      <c r="H8" s="1" t="s">
        <v>1</v>
      </c>
      <c r="I8" s="1"/>
      <c r="J8" s="1" t="s">
        <v>1</v>
      </c>
    </row>
    <row r="9" spans="8:10" ht="1.5" customHeight="1">
      <c r="H9" s="88"/>
      <c r="I9" s="88"/>
      <c r="J9" s="88"/>
    </row>
    <row r="10" spans="1:10" ht="15">
      <c r="A10" s="5" t="s">
        <v>164</v>
      </c>
      <c r="H10" s="88"/>
      <c r="I10" s="88"/>
      <c r="J10" s="88"/>
    </row>
    <row r="11" spans="1:10" ht="15">
      <c r="A11" s="2" t="s">
        <v>170</v>
      </c>
      <c r="H11" s="88">
        <v>2103105</v>
      </c>
      <c r="I11" s="88"/>
      <c r="J11" s="88">
        <v>2042014</v>
      </c>
    </row>
    <row r="12" spans="1:10" ht="15">
      <c r="A12" s="2" t="s">
        <v>187</v>
      </c>
      <c r="H12" s="88"/>
      <c r="I12" s="88"/>
      <c r="J12" s="88"/>
    </row>
    <row r="13" spans="2:10" ht="15">
      <c r="B13" s="2" t="s">
        <v>186</v>
      </c>
      <c r="H13" s="88">
        <f>-1452572-299960-111146-4</f>
        <v>-1863682</v>
      </c>
      <c r="I13" s="88"/>
      <c r="J13" s="88">
        <v>-1797094</v>
      </c>
    </row>
    <row r="14" spans="1:10" ht="15">
      <c r="A14" s="2" t="s">
        <v>310</v>
      </c>
      <c r="H14" s="88">
        <v>91</v>
      </c>
      <c r="I14" s="88"/>
      <c r="J14" s="88">
        <v>156</v>
      </c>
    </row>
    <row r="15" spans="1:10" ht="15">
      <c r="A15" s="5" t="s">
        <v>94</v>
      </c>
      <c r="B15" s="5"/>
      <c r="C15" s="5"/>
      <c r="D15" s="5"/>
      <c r="E15" s="5"/>
      <c r="F15" s="5"/>
      <c r="G15" s="5"/>
      <c r="H15" s="141">
        <f>SUM(H11:H14)</f>
        <v>239514</v>
      </c>
      <c r="I15" s="142"/>
      <c r="J15" s="141">
        <f>SUM(J11:J14)</f>
        <v>245076</v>
      </c>
    </row>
    <row r="16" spans="1:10" ht="3" customHeight="1">
      <c r="A16" s="5"/>
      <c r="B16" s="5"/>
      <c r="C16" s="5"/>
      <c r="D16" s="5"/>
      <c r="E16" s="5"/>
      <c r="F16" s="5"/>
      <c r="G16" s="5"/>
      <c r="H16" s="88"/>
      <c r="I16" s="88"/>
      <c r="J16" s="88"/>
    </row>
    <row r="17" spans="1:10" ht="15">
      <c r="A17" s="5" t="s">
        <v>165</v>
      </c>
      <c r="B17" s="5"/>
      <c r="C17" s="5"/>
      <c r="D17" s="5"/>
      <c r="E17" s="5"/>
      <c r="F17" s="5"/>
      <c r="G17" s="5"/>
      <c r="H17" s="88"/>
      <c r="I17" s="88"/>
      <c r="J17" s="88"/>
    </row>
    <row r="18" spans="1:10" ht="15">
      <c r="A18" s="2" t="s">
        <v>171</v>
      </c>
      <c r="B18" s="5"/>
      <c r="C18" s="5"/>
      <c r="D18" s="5"/>
      <c r="E18" s="5"/>
      <c r="F18" s="5"/>
      <c r="G18" s="5"/>
      <c r="H18" s="88">
        <v>150</v>
      </c>
      <c r="I18" s="88"/>
      <c r="J18" s="88">
        <v>590</v>
      </c>
    </row>
    <row r="19" spans="1:10" ht="15">
      <c r="A19" s="2" t="s">
        <v>295</v>
      </c>
      <c r="B19" s="5"/>
      <c r="C19" s="5"/>
      <c r="D19" s="5"/>
      <c r="E19" s="5"/>
      <c r="F19" s="5"/>
      <c r="G19" s="5"/>
      <c r="J19" s="2"/>
    </row>
    <row r="20" spans="2:10" ht="15">
      <c r="B20" s="2" t="s">
        <v>294</v>
      </c>
      <c r="C20" s="5"/>
      <c r="D20" s="5"/>
      <c r="E20" s="5"/>
      <c r="F20" s="5"/>
      <c r="G20" s="5"/>
      <c r="H20" s="88">
        <v>-3470</v>
      </c>
      <c r="I20" s="88"/>
      <c r="J20" s="88">
        <v>-30391</v>
      </c>
    </row>
    <row r="21" spans="1:10" ht="15">
      <c r="A21" s="2" t="s">
        <v>213</v>
      </c>
      <c r="B21" s="5"/>
      <c r="C21" s="5"/>
      <c r="D21" s="5"/>
      <c r="E21" s="5"/>
      <c r="F21" s="5"/>
      <c r="G21" s="5"/>
      <c r="H21" s="88">
        <v>-152</v>
      </c>
      <c r="I21" s="88"/>
      <c r="J21" s="88">
        <v>-5500</v>
      </c>
    </row>
    <row r="22" spans="1:10" ht="15">
      <c r="A22" s="2" t="s">
        <v>166</v>
      </c>
      <c r="B22" s="5"/>
      <c r="C22" s="5"/>
      <c r="D22" s="5"/>
      <c r="E22" s="5"/>
      <c r="F22" s="5"/>
      <c r="G22" s="5"/>
      <c r="H22" s="88">
        <v>-10844</v>
      </c>
      <c r="I22" s="88"/>
      <c r="J22" s="88">
        <v>-21913</v>
      </c>
    </row>
    <row r="23" spans="1:10" ht="15">
      <c r="A23" s="2" t="s">
        <v>342</v>
      </c>
      <c r="B23" s="5"/>
      <c r="C23" s="5"/>
      <c r="D23" s="5"/>
      <c r="E23" s="5"/>
      <c r="F23" s="5"/>
      <c r="G23" s="5"/>
      <c r="H23" s="88">
        <v>0</v>
      </c>
      <c r="I23" s="88"/>
      <c r="J23" s="88">
        <v>-3944</v>
      </c>
    </row>
    <row r="24" spans="1:10" ht="15">
      <c r="A24" s="2" t="s">
        <v>173</v>
      </c>
      <c r="B24" s="5"/>
      <c r="C24" s="5"/>
      <c r="D24" s="5"/>
      <c r="E24" s="5"/>
      <c r="F24" s="5"/>
      <c r="G24" s="5"/>
      <c r="H24" s="88">
        <f>163327+116</f>
        <v>163443</v>
      </c>
      <c r="I24" s="88"/>
      <c r="J24" s="88">
        <v>100330</v>
      </c>
    </row>
    <row r="25" spans="1:10" ht="15">
      <c r="A25" s="2" t="s">
        <v>293</v>
      </c>
      <c r="B25" s="5"/>
      <c r="C25" s="5"/>
      <c r="D25" s="5"/>
      <c r="E25" s="5"/>
      <c r="F25" s="5"/>
      <c r="G25" s="5"/>
      <c r="H25" s="88">
        <v>-1252</v>
      </c>
      <c r="I25" s="88"/>
      <c r="J25" s="88">
        <v>-1264</v>
      </c>
    </row>
    <row r="26" spans="1:10" ht="15">
      <c r="A26" s="2" t="s">
        <v>174</v>
      </c>
      <c r="B26" s="5"/>
      <c r="C26" s="5"/>
      <c r="D26" s="5"/>
      <c r="E26" s="5"/>
      <c r="F26" s="5"/>
      <c r="G26" s="5"/>
      <c r="H26" s="88">
        <f>3828+1555-4</f>
        <v>5379</v>
      </c>
      <c r="I26" s="88"/>
      <c r="J26" s="88">
        <v>4424</v>
      </c>
    </row>
    <row r="27" spans="1:10" ht="15">
      <c r="A27" s="5" t="s">
        <v>343</v>
      </c>
      <c r="B27" s="5"/>
      <c r="C27" s="5"/>
      <c r="D27" s="5"/>
      <c r="E27" s="5"/>
      <c r="F27" s="5"/>
      <c r="G27" s="5"/>
      <c r="H27" s="141">
        <f>SUM(H18:H26)</f>
        <v>153254</v>
      </c>
      <c r="I27" s="142"/>
      <c r="J27" s="141">
        <f>SUM(J18:J26)</f>
        <v>42332</v>
      </c>
    </row>
    <row r="28" spans="1:10" ht="3.75" customHeight="1">
      <c r="A28" s="5"/>
      <c r="B28" s="5"/>
      <c r="C28" s="5"/>
      <c r="D28" s="5"/>
      <c r="E28" s="5"/>
      <c r="F28" s="5"/>
      <c r="G28" s="5"/>
      <c r="H28" s="142"/>
      <c r="I28" s="142"/>
      <c r="J28" s="142"/>
    </row>
    <row r="29" spans="1:10" ht="15">
      <c r="A29" s="5" t="s">
        <v>167</v>
      </c>
      <c r="B29" s="5"/>
      <c r="C29" s="5"/>
      <c r="D29" s="5"/>
      <c r="E29" s="5"/>
      <c r="F29" s="5"/>
      <c r="G29" s="5"/>
      <c r="H29" s="142"/>
      <c r="I29" s="142"/>
      <c r="J29" s="142"/>
    </row>
    <row r="30" spans="1:10" ht="15">
      <c r="A30" s="2" t="s">
        <v>168</v>
      </c>
      <c r="B30" s="5"/>
      <c r="C30" s="5"/>
      <c r="D30" s="5"/>
      <c r="E30" s="5"/>
      <c r="F30" s="5"/>
      <c r="G30" s="5"/>
      <c r="H30" s="142">
        <v>1650</v>
      </c>
      <c r="I30" s="142"/>
      <c r="J30" s="142">
        <v>62540</v>
      </c>
    </row>
    <row r="31" spans="1:10" ht="15">
      <c r="A31" s="2" t="s">
        <v>262</v>
      </c>
      <c r="B31" s="5"/>
      <c r="C31" s="5"/>
      <c r="D31" s="5"/>
      <c r="E31" s="5"/>
      <c r="F31" s="5"/>
      <c r="G31" s="5"/>
      <c r="H31" s="142">
        <v>-1136</v>
      </c>
      <c r="I31" s="142"/>
      <c r="J31" s="142">
        <v>-6384</v>
      </c>
    </row>
    <row r="32" spans="1:10" ht="15">
      <c r="A32" s="2" t="s">
        <v>232</v>
      </c>
      <c r="B32" s="5"/>
      <c r="C32" s="5"/>
      <c r="D32" s="5"/>
      <c r="E32" s="5"/>
      <c r="F32" s="5"/>
      <c r="G32" s="5"/>
      <c r="H32" s="142">
        <v>-131891</v>
      </c>
      <c r="I32" s="142"/>
      <c r="J32" s="142">
        <v>-9169</v>
      </c>
    </row>
    <row r="33" spans="1:10" ht="15">
      <c r="A33" s="2" t="s">
        <v>172</v>
      </c>
      <c r="B33" s="5"/>
      <c r="C33" s="5"/>
      <c r="D33" s="5"/>
      <c r="E33" s="5"/>
      <c r="F33" s="5"/>
      <c r="G33" s="5"/>
      <c r="H33" s="142">
        <v>-249889</v>
      </c>
      <c r="I33" s="142"/>
      <c r="J33" s="142">
        <v>-175837</v>
      </c>
    </row>
    <row r="34" spans="1:10" ht="15">
      <c r="A34" s="2" t="s">
        <v>188</v>
      </c>
      <c r="B34" s="5"/>
      <c r="C34" s="5"/>
      <c r="D34" s="5"/>
      <c r="E34" s="5"/>
      <c r="F34" s="5"/>
      <c r="G34" s="5"/>
      <c r="H34" s="142">
        <v>-16392</v>
      </c>
      <c r="I34" s="142"/>
      <c r="J34" s="142">
        <v>-21928</v>
      </c>
    </row>
    <row r="35" spans="1:10" ht="15">
      <c r="A35" s="2" t="s">
        <v>407</v>
      </c>
      <c r="B35" s="5"/>
      <c r="C35" s="5"/>
      <c r="D35" s="5"/>
      <c r="E35" s="5"/>
      <c r="F35" s="5"/>
      <c r="G35" s="5"/>
      <c r="H35" s="142">
        <v>16300</v>
      </c>
      <c r="I35" s="142"/>
      <c r="J35" s="142">
        <v>0</v>
      </c>
    </row>
    <row r="36" spans="1:10" ht="15">
      <c r="A36" s="2" t="s">
        <v>169</v>
      </c>
      <c r="B36" s="5"/>
      <c r="C36" s="5"/>
      <c r="D36" s="5"/>
      <c r="E36" s="5"/>
      <c r="F36" s="5"/>
      <c r="G36" s="5"/>
      <c r="H36" s="142">
        <v>-141</v>
      </c>
      <c r="I36" s="142"/>
      <c r="J36" s="142">
        <v>-327</v>
      </c>
    </row>
    <row r="37" spans="1:10" ht="15">
      <c r="A37" s="8" t="s">
        <v>95</v>
      </c>
      <c r="B37" s="5"/>
      <c r="C37" s="5"/>
      <c r="D37" s="5"/>
      <c r="E37" s="5"/>
      <c r="F37" s="5"/>
      <c r="G37" s="5"/>
      <c r="H37" s="141">
        <f>SUM(H30:H36)</f>
        <v>-381499</v>
      </c>
      <c r="I37" s="142"/>
      <c r="J37" s="141">
        <f>SUM(J30:J36)</f>
        <v>-151105</v>
      </c>
    </row>
    <row r="38" spans="1:10" ht="3" customHeight="1">
      <c r="A38" s="70"/>
      <c r="B38" s="70"/>
      <c r="C38" s="70"/>
      <c r="D38" s="70"/>
      <c r="E38" s="70"/>
      <c r="F38" s="70"/>
      <c r="G38" s="70"/>
      <c r="H38" s="89"/>
      <c r="I38" s="89"/>
      <c r="J38" s="89"/>
    </row>
    <row r="39" spans="1:10" ht="15">
      <c r="A39" s="2" t="s">
        <v>408</v>
      </c>
      <c r="H39" s="88">
        <f>+H37+H27+H15</f>
        <v>11269</v>
      </c>
      <c r="I39" s="88"/>
      <c r="J39" s="88">
        <f>+J37+J27+J15</f>
        <v>136303</v>
      </c>
    </row>
    <row r="40" spans="4:11" ht="3" customHeight="1">
      <c r="D40" s="104"/>
      <c r="H40" s="88"/>
      <c r="I40" s="88"/>
      <c r="J40" s="88"/>
      <c r="K40" s="103"/>
    </row>
    <row r="41" spans="1:10" ht="15">
      <c r="A41" s="104" t="s">
        <v>261</v>
      </c>
      <c r="H41" s="88">
        <v>343372</v>
      </c>
      <c r="I41" s="88"/>
      <c r="J41" s="88">
        <v>141146</v>
      </c>
    </row>
    <row r="42" spans="1:10" ht="15">
      <c r="A42" s="143" t="s">
        <v>109</v>
      </c>
      <c r="B42" s="6"/>
      <c r="C42" s="6"/>
      <c r="D42" s="6"/>
      <c r="E42" s="6"/>
      <c r="F42" s="6"/>
      <c r="G42" s="6"/>
      <c r="H42" s="89">
        <v>156</v>
      </c>
      <c r="I42" s="89"/>
      <c r="J42" s="89">
        <v>-492</v>
      </c>
    </row>
    <row r="43" spans="1:10" ht="15.75" thickBot="1">
      <c r="A43" s="108" t="s">
        <v>340</v>
      </c>
      <c r="B43" s="10"/>
      <c r="C43" s="10"/>
      <c r="D43" s="10"/>
      <c r="E43" s="10"/>
      <c r="F43" s="10"/>
      <c r="G43" s="10"/>
      <c r="H43" s="90">
        <f>SUM(H39:H42)</f>
        <v>354797</v>
      </c>
      <c r="I43" s="90"/>
      <c r="J43" s="90">
        <f>SUM(J39:J42)</f>
        <v>276957</v>
      </c>
    </row>
    <row r="44" spans="8:10" ht="4.5" customHeight="1">
      <c r="H44" s="88"/>
      <c r="I44" s="88"/>
      <c r="J44" s="88"/>
    </row>
    <row r="45" spans="8:10" ht="15">
      <c r="H45" s="12" t="str">
        <f>+H6</f>
        <v>9-month ended</v>
      </c>
      <c r="I45" s="12"/>
      <c r="J45" s="12" t="str">
        <f>+J6</f>
        <v>9-month ended</v>
      </c>
    </row>
    <row r="46" spans="8:10" ht="15">
      <c r="H46" s="12" t="str">
        <f>+H7</f>
        <v>31-1-2005</v>
      </c>
      <c r="I46" s="12"/>
      <c r="J46" s="12" t="str">
        <f>+J7</f>
        <v>31-1-2004</v>
      </c>
    </row>
    <row r="47" spans="8:10" ht="15.75" thickBot="1">
      <c r="H47" s="1" t="s">
        <v>1</v>
      </c>
      <c r="I47" s="1"/>
      <c r="J47" s="1" t="s">
        <v>1</v>
      </c>
    </row>
    <row r="48" spans="1:9" ht="15">
      <c r="A48" s="2" t="s">
        <v>110</v>
      </c>
      <c r="H48" s="68"/>
      <c r="I48" s="68"/>
    </row>
    <row r="49" spans="1:8" ht="15">
      <c r="A49" s="2" t="s">
        <v>205</v>
      </c>
      <c r="H49" s="68"/>
    </row>
    <row r="50" spans="2:10" ht="15">
      <c r="B50" s="2" t="s">
        <v>91</v>
      </c>
      <c r="H50" s="73">
        <v>15050</v>
      </c>
      <c r="I50" s="73"/>
      <c r="J50" s="73">
        <v>90743</v>
      </c>
    </row>
    <row r="51" spans="2:10" ht="15">
      <c r="B51" s="2" t="s">
        <v>102</v>
      </c>
      <c r="H51" s="73">
        <v>339747</v>
      </c>
      <c r="I51" s="73"/>
      <c r="J51" s="73">
        <v>186214</v>
      </c>
    </row>
    <row r="52" spans="8:10" ht="15.75" thickBot="1">
      <c r="H52" s="112">
        <f>+H50+H51</f>
        <v>354797</v>
      </c>
      <c r="I52" s="112"/>
      <c r="J52" s="112">
        <f>+J50+J51</f>
        <v>276957</v>
      </c>
    </row>
    <row r="53" spans="8:10" ht="3" customHeight="1" thickTop="1">
      <c r="H53" s="73"/>
      <c r="J53" s="73"/>
    </row>
    <row r="54" spans="8:10" ht="15">
      <c r="H54" s="73"/>
      <c r="J54" s="73"/>
    </row>
    <row r="55" ht="15">
      <c r="J55" s="73"/>
    </row>
    <row r="56" ht="15">
      <c r="J56" s="73"/>
    </row>
    <row r="57" ht="3" customHeight="1">
      <c r="J57" s="73"/>
    </row>
    <row r="58" ht="1.5" customHeight="1" hidden="1">
      <c r="J58" s="73"/>
    </row>
    <row r="59" ht="0.75" customHeight="1" hidden="1">
      <c r="J59" s="73"/>
    </row>
    <row r="60" ht="1.5" customHeight="1" hidden="1">
      <c r="J60" s="73"/>
    </row>
    <row r="61" spans="1:10" ht="15">
      <c r="A61" s="5" t="s">
        <v>271</v>
      </c>
      <c r="J61" s="27"/>
    </row>
  </sheetData>
  <printOptions/>
  <pageMargins left="0.75" right="0.49" top="0.86" bottom="0.81" header="0.5" footer="0.5"/>
  <pageSetup horizontalDpi="600" verticalDpi="600" orientation="portrait" paperSize="9" scale="97" r:id="rId1"/>
  <headerFooter alignWithMargins="0">
    <oddHeader>&amp;R&amp;"Arial,Bold"Berjaya Sports Toto Berhad&amp;U
&amp;9&amp;U(&amp;"Arial,Regular"Company No. 9109-K)
Quarterly Report 31-1-2005</oddHeader>
    <oddFooter>&amp;R&amp;"Arial,Bold"    Page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V191"/>
  <sheetViews>
    <sheetView showGridLines="0" workbookViewId="0" topLeftCell="A90">
      <selection activeCell="C100" sqref="C100"/>
    </sheetView>
  </sheetViews>
  <sheetFormatPr defaultColWidth="9.140625" defaultRowHeight="12.75"/>
  <cols>
    <col min="1" max="1" width="4.57421875" style="55" customWidth="1"/>
    <col min="2" max="2" width="4.28125" style="55" customWidth="1"/>
    <col min="3" max="3" width="10.28125" style="39" customWidth="1"/>
    <col min="4" max="4" width="8.7109375" style="39" customWidth="1"/>
    <col min="5" max="5" width="9.28125" style="39" customWidth="1"/>
    <col min="6" max="6" width="8.421875" style="39" customWidth="1"/>
    <col min="7" max="7" width="7.7109375" style="39" customWidth="1"/>
    <col min="8" max="8" width="11.28125" style="39" customWidth="1"/>
    <col min="9" max="9" width="10.00390625" style="39" customWidth="1"/>
    <col min="10" max="10" width="9.28125" style="39" customWidth="1"/>
    <col min="11" max="11" width="10.00390625" style="39" customWidth="1"/>
    <col min="12" max="12" width="0.2890625" style="39" hidden="1" customWidth="1"/>
    <col min="13" max="13" width="6.8515625" style="39" hidden="1" customWidth="1"/>
    <col min="14" max="14" width="6.140625" style="39" hidden="1" customWidth="1"/>
    <col min="15" max="15" width="6.28125" style="39" hidden="1" customWidth="1"/>
    <col min="16" max="16" width="0.42578125" style="39" customWidth="1"/>
    <col min="17" max="17" width="6.140625" style="39" customWidth="1"/>
    <col min="18" max="18" width="5.57421875" style="39" customWidth="1"/>
    <col min="19" max="16384" width="9.140625" style="39" customWidth="1"/>
  </cols>
  <sheetData>
    <row r="2" spans="1:256" ht="8.25" customHeight="1">
      <c r="A2" s="3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7.5" customHeight="1">
      <c r="A3" s="3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5" customHeight="1">
      <c r="A4" s="5" t="str">
        <f>PL!A5</f>
        <v>UNAUDITED QUARTERLY FINANCIAL REPORT FOR THE PERIOD ENDED 31 JANUARY 2005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4" ht="14.25" customHeight="1">
      <c r="A5" s="53" t="s">
        <v>272</v>
      </c>
      <c r="C5" s="55"/>
      <c r="D5" s="55"/>
    </row>
    <row r="6" spans="1:4" ht="10.5" customHeight="1">
      <c r="A6" s="53"/>
      <c r="C6" s="55"/>
      <c r="D6" s="55"/>
    </row>
    <row r="7" spans="1:4" ht="15">
      <c r="A7" s="55" t="s">
        <v>32</v>
      </c>
      <c r="B7" s="55" t="s">
        <v>233</v>
      </c>
      <c r="C7" s="55"/>
      <c r="D7" s="55"/>
    </row>
    <row r="8" ht="15">
      <c r="B8" s="55" t="s">
        <v>245</v>
      </c>
    </row>
    <row r="9" spans="3:4" ht="12" customHeight="1">
      <c r="C9" s="55"/>
      <c r="D9" s="55"/>
    </row>
    <row r="10" spans="2:4" ht="15">
      <c r="B10" s="55" t="s">
        <v>234</v>
      </c>
      <c r="C10" s="55"/>
      <c r="D10" s="55"/>
    </row>
    <row r="11" ht="15">
      <c r="B11" s="55" t="s">
        <v>263</v>
      </c>
    </row>
    <row r="12" spans="3:4" ht="12" customHeight="1">
      <c r="C12" s="55"/>
      <c r="D12" s="55"/>
    </row>
    <row r="13" spans="2:4" ht="15">
      <c r="B13" s="157" t="s">
        <v>30</v>
      </c>
      <c r="C13" s="55"/>
      <c r="D13" s="55"/>
    </row>
    <row r="14" spans="2:3" ht="15">
      <c r="B14" s="55" t="s">
        <v>264</v>
      </c>
      <c r="C14" s="55"/>
    </row>
    <row r="15" spans="2:4" ht="15">
      <c r="B15" s="55" t="s">
        <v>265</v>
      </c>
      <c r="C15" s="55"/>
      <c r="D15" s="55"/>
    </row>
    <row r="16" ht="15">
      <c r="D16" s="55"/>
    </row>
    <row r="17" spans="1:4" ht="15">
      <c r="A17" s="55" t="s">
        <v>33</v>
      </c>
      <c r="B17" s="55" t="s">
        <v>197</v>
      </c>
      <c r="C17" s="55"/>
      <c r="D17" s="55"/>
    </row>
    <row r="18" spans="2:4" ht="15">
      <c r="B18" s="55" t="s">
        <v>29</v>
      </c>
      <c r="C18" s="55"/>
      <c r="D18" s="55"/>
    </row>
    <row r="20" spans="1:4" ht="15">
      <c r="A20" s="55" t="s">
        <v>34</v>
      </c>
      <c r="B20" s="55" t="s">
        <v>93</v>
      </c>
      <c r="C20" s="55"/>
      <c r="D20" s="55"/>
    </row>
    <row r="21" ht="15">
      <c r="B21" s="55" t="s">
        <v>153</v>
      </c>
    </row>
    <row r="23" spans="1:4" ht="15">
      <c r="A23" s="55" t="s">
        <v>35</v>
      </c>
      <c r="B23" s="55" t="s">
        <v>235</v>
      </c>
      <c r="C23" s="55"/>
      <c r="D23" s="55"/>
    </row>
    <row r="24" spans="2:3" ht="15">
      <c r="B24" s="55" t="s">
        <v>344</v>
      </c>
      <c r="C24" s="56"/>
    </row>
    <row r="25" ht="11.25" customHeight="1">
      <c r="C25" s="56"/>
    </row>
    <row r="26" spans="2:3" ht="15">
      <c r="B26" s="55" t="s">
        <v>266</v>
      </c>
      <c r="C26" s="56"/>
    </row>
    <row r="27" spans="2:3" ht="15">
      <c r="B27" s="55" t="s">
        <v>311</v>
      </c>
      <c r="C27" s="56"/>
    </row>
    <row r="28" ht="15">
      <c r="C28" s="56"/>
    </row>
    <row r="29" spans="1:3" ht="15">
      <c r="A29" s="55" t="s">
        <v>36</v>
      </c>
      <c r="B29" s="55" t="s">
        <v>345</v>
      </c>
      <c r="C29" s="56"/>
    </row>
    <row r="30" spans="2:4" ht="15">
      <c r="B30" s="55" t="s">
        <v>298</v>
      </c>
      <c r="C30" s="57"/>
      <c r="D30" s="57"/>
    </row>
    <row r="31" spans="2:4" ht="15">
      <c r="B31" s="55" t="s">
        <v>346</v>
      </c>
      <c r="C31" s="57"/>
      <c r="D31" s="57"/>
    </row>
    <row r="32" spans="3:4" ht="12" customHeight="1">
      <c r="C32" s="57"/>
      <c r="D32" s="57"/>
    </row>
    <row r="33" spans="2:4" ht="15">
      <c r="B33" s="55" t="s">
        <v>347</v>
      </c>
      <c r="C33" s="57"/>
      <c r="D33" s="57"/>
    </row>
    <row r="34" ht="15">
      <c r="B34" s="55" t="s">
        <v>348</v>
      </c>
    </row>
    <row r="35" ht="15">
      <c r="B35" s="55" t="s">
        <v>349</v>
      </c>
    </row>
    <row r="36" ht="12" customHeight="1"/>
    <row r="37" ht="14.25" customHeight="1">
      <c r="B37" s="55" t="s">
        <v>393</v>
      </c>
    </row>
    <row r="38" ht="15" customHeight="1">
      <c r="B38" s="55" t="s">
        <v>394</v>
      </c>
    </row>
    <row r="39" ht="15" customHeight="1">
      <c r="B39" s="55" t="s">
        <v>395</v>
      </c>
    </row>
    <row r="40" ht="15" customHeight="1">
      <c r="B40" s="55" t="s">
        <v>396</v>
      </c>
    </row>
    <row r="41" ht="11.25" customHeight="1"/>
    <row r="42" ht="15">
      <c r="B42" s="55" t="s">
        <v>111</v>
      </c>
    </row>
    <row r="43" ht="6" customHeight="1"/>
    <row r="44" spans="2:10" ht="15">
      <c r="B44" s="114"/>
      <c r="C44" s="115"/>
      <c r="D44" s="203" t="s">
        <v>113</v>
      </c>
      <c r="E44" s="204"/>
      <c r="F44" s="204"/>
      <c r="G44" s="125"/>
      <c r="H44" s="126"/>
      <c r="I44" s="198" t="s">
        <v>118</v>
      </c>
      <c r="J44" s="199"/>
    </row>
    <row r="45" spans="2:10" ht="15">
      <c r="B45" s="120" t="s">
        <v>112</v>
      </c>
      <c r="C45" s="44"/>
      <c r="D45" s="121" t="s">
        <v>114</v>
      </c>
      <c r="E45" s="123" t="s">
        <v>115</v>
      </c>
      <c r="F45" s="44" t="s">
        <v>116</v>
      </c>
      <c r="G45" s="202" t="s">
        <v>117</v>
      </c>
      <c r="H45" s="201"/>
      <c r="I45" s="200" t="s">
        <v>1</v>
      </c>
      <c r="J45" s="201"/>
    </row>
    <row r="46" spans="2:10" ht="15">
      <c r="B46" s="117" t="s">
        <v>267</v>
      </c>
      <c r="C46" s="65"/>
      <c r="D46" s="175">
        <v>3.7</v>
      </c>
      <c r="E46" s="176">
        <v>3.83</v>
      </c>
      <c r="F46" s="177">
        <f aca="true" t="shared" si="0" ref="F46:F51">+J46/(H46/1000)</f>
        <v>3.7660357297743454</v>
      </c>
      <c r="G46" s="149"/>
      <c r="H46" s="150">
        <f>2800000+1100000+1388900+909900+350000+309300+290000</f>
        <v>7148100</v>
      </c>
      <c r="I46" s="151"/>
      <c r="J46" s="150">
        <f>10457+4083+5255+3486+1345+1185+1109</f>
        <v>26920</v>
      </c>
    </row>
    <row r="47" spans="2:10" ht="15">
      <c r="B47" s="117" t="s">
        <v>268</v>
      </c>
      <c r="C47" s="65"/>
      <c r="D47" s="175">
        <v>3.81</v>
      </c>
      <c r="E47" s="176">
        <v>3.9</v>
      </c>
      <c r="F47" s="177">
        <f t="shared" si="0"/>
        <v>3.888242489334407</v>
      </c>
      <c r="G47" s="122"/>
      <c r="H47" s="65">
        <f>414000+437900+990000+910000+600000</f>
        <v>3351900</v>
      </c>
      <c r="I47" s="122"/>
      <c r="J47" s="118">
        <f>1584+1684+3872+3560+2332+1</f>
        <v>13033</v>
      </c>
    </row>
    <row r="48" spans="2:10" ht="15">
      <c r="B48" s="117" t="s">
        <v>299</v>
      </c>
      <c r="C48" s="65"/>
      <c r="D48" s="175">
        <v>3.35</v>
      </c>
      <c r="E48" s="176">
        <v>3.64</v>
      </c>
      <c r="F48" s="177">
        <f t="shared" si="0"/>
        <v>3.4677456647398843</v>
      </c>
      <c r="G48" s="122"/>
      <c r="H48" s="65">
        <f>921700+200000+278300+380000+620000+943400+1915000+1885200+715000+305000+200000+202000+84400</f>
        <v>8650000</v>
      </c>
      <c r="I48" s="122"/>
      <c r="J48" s="118">
        <f>3339+730+1004+1338+2172+3265+6431+6508+2464+1063+693+697+292</f>
        <v>29996</v>
      </c>
    </row>
    <row r="49" spans="2:10" ht="15">
      <c r="B49" s="117" t="s">
        <v>300</v>
      </c>
      <c r="C49" s="65"/>
      <c r="D49" s="175">
        <v>3.81</v>
      </c>
      <c r="E49" s="176">
        <v>3.91</v>
      </c>
      <c r="F49" s="177">
        <f t="shared" si="0"/>
        <v>3.8836363636363638</v>
      </c>
      <c r="G49" s="122"/>
      <c r="H49" s="65">
        <f>500000+301400+498600+500000+500000+100000+350000</f>
        <v>2750000</v>
      </c>
      <c r="I49" s="122"/>
      <c r="J49" s="118">
        <f>1963+1177+1939+1932+1913+387+1369</f>
        <v>10680</v>
      </c>
    </row>
    <row r="50" spans="2:10" ht="15">
      <c r="B50" s="117" t="s">
        <v>301</v>
      </c>
      <c r="C50" s="65"/>
      <c r="D50" s="175">
        <v>3.85</v>
      </c>
      <c r="E50" s="176">
        <v>3.96</v>
      </c>
      <c r="F50" s="177">
        <f t="shared" si="0"/>
        <v>3.9092063492063494</v>
      </c>
      <c r="G50" s="122"/>
      <c r="H50" s="118">
        <f>450000+560000+414700+500300+481400+370000+373300+500300+500000+399000+899000+680000+991000+1000000+1100000+1467000+665500+388100+330000+280400+250000</f>
        <v>12600000</v>
      </c>
      <c r="I50" s="65"/>
      <c r="J50" s="118">
        <f>1758+2169+1607+1935+1870+1453+1477+1986+1985+1573+3541+2677+3883+3917+4287+5696+2571+1504+1293+1096+978</f>
        <v>49256</v>
      </c>
    </row>
    <row r="51" spans="2:10" ht="15">
      <c r="B51" s="117" t="s">
        <v>350</v>
      </c>
      <c r="C51" s="65"/>
      <c r="D51" s="175">
        <v>3.99</v>
      </c>
      <c r="E51" s="176">
        <v>4</v>
      </c>
      <c r="F51" s="177">
        <f t="shared" si="0"/>
        <v>4.010603048376408</v>
      </c>
      <c r="G51" s="121"/>
      <c r="H51" s="44">
        <f>500000+500000+509000</f>
        <v>1509000</v>
      </c>
      <c r="I51" s="121"/>
      <c r="J51" s="119">
        <f>2006+2002+2044</f>
        <v>6052</v>
      </c>
    </row>
    <row r="52" spans="2:10" ht="15">
      <c r="B52" s="130" t="s">
        <v>120</v>
      </c>
      <c r="C52" s="44"/>
      <c r="D52" s="127"/>
      <c r="E52" s="128"/>
      <c r="F52" s="129"/>
      <c r="G52" s="121"/>
      <c r="H52" s="119">
        <f>SUM(H46:H51)</f>
        <v>36009000</v>
      </c>
      <c r="I52" s="44"/>
      <c r="J52" s="119">
        <f>SUM(J46:J51)</f>
        <v>135937</v>
      </c>
    </row>
    <row r="53" spans="1:2" ht="15">
      <c r="A53" s="39"/>
      <c r="B53" s="39"/>
    </row>
    <row r="54" spans="1:2" ht="15">
      <c r="A54" s="39"/>
      <c r="B54" s="39"/>
    </row>
    <row r="55" spans="1:2" ht="15">
      <c r="A55" s="39"/>
      <c r="B55" s="39"/>
    </row>
    <row r="56" spans="1:2" ht="7.5" customHeight="1">
      <c r="A56" s="39"/>
      <c r="B56" s="39"/>
    </row>
    <row r="57" spans="1:2" ht="15">
      <c r="A57" s="55" t="s">
        <v>36</v>
      </c>
      <c r="B57" s="55" t="s">
        <v>351</v>
      </c>
    </row>
    <row r="58" ht="7.5" customHeight="1">
      <c r="A58" s="39"/>
    </row>
    <row r="59" spans="2:10" ht="15">
      <c r="B59" s="114"/>
      <c r="C59" s="115"/>
      <c r="D59" s="115"/>
      <c r="E59" s="115"/>
      <c r="F59" s="115"/>
      <c r="G59" s="125"/>
      <c r="H59" s="126"/>
      <c r="I59" s="198" t="s">
        <v>119</v>
      </c>
      <c r="J59" s="199"/>
    </row>
    <row r="60" spans="2:10" ht="15">
      <c r="B60" s="120"/>
      <c r="C60" s="44"/>
      <c r="D60" s="44"/>
      <c r="E60" s="44"/>
      <c r="F60" s="44"/>
      <c r="G60" s="202" t="s">
        <v>117</v>
      </c>
      <c r="H60" s="201"/>
      <c r="I60" s="200" t="s">
        <v>1</v>
      </c>
      <c r="J60" s="201"/>
    </row>
    <row r="61" spans="2:10" ht="15">
      <c r="B61" s="116" t="s">
        <v>269</v>
      </c>
      <c r="C61" s="65"/>
      <c r="D61" s="65"/>
      <c r="E61" s="65"/>
      <c r="F61" s="65"/>
      <c r="G61" s="122"/>
      <c r="H61" s="118">
        <v>37100000</v>
      </c>
      <c r="I61" s="65"/>
      <c r="J61" s="118">
        <v>215258</v>
      </c>
    </row>
    <row r="62" spans="2:10" ht="15">
      <c r="B62" s="116" t="s">
        <v>196</v>
      </c>
      <c r="C62" s="65"/>
      <c r="D62" s="65"/>
      <c r="E62" s="65"/>
      <c r="F62" s="65"/>
      <c r="G62" s="121"/>
      <c r="H62" s="119">
        <f>+H52</f>
        <v>36009000</v>
      </c>
      <c r="I62" s="44"/>
      <c r="J62" s="119">
        <f>+J52</f>
        <v>135937</v>
      </c>
    </row>
    <row r="63" spans="2:10" ht="15">
      <c r="B63" s="120" t="s">
        <v>352</v>
      </c>
      <c r="C63" s="44"/>
      <c r="D63" s="44"/>
      <c r="E63" s="44"/>
      <c r="F63" s="44"/>
      <c r="G63" s="121"/>
      <c r="H63" s="119">
        <f>+H61+H62</f>
        <v>73109000</v>
      </c>
      <c r="I63" s="44"/>
      <c r="J63" s="119">
        <f>+J61+J62</f>
        <v>351195</v>
      </c>
    </row>
    <row r="64" ht="10.5" customHeight="1"/>
    <row r="65" spans="1:2" ht="15">
      <c r="A65" s="39"/>
      <c r="B65" s="55" t="s">
        <v>353</v>
      </c>
    </row>
    <row r="66" ht="15">
      <c r="B66" s="55" t="s">
        <v>354</v>
      </c>
    </row>
    <row r="67" ht="12.75" customHeight="1"/>
    <row r="68" ht="15">
      <c r="B68" s="55" t="s">
        <v>355</v>
      </c>
    </row>
    <row r="69" ht="15">
      <c r="B69" s="55" t="s">
        <v>203</v>
      </c>
    </row>
    <row r="70" ht="15">
      <c r="I70" s="52" t="s">
        <v>204</v>
      </c>
    </row>
    <row r="71" spans="8:9" ht="15">
      <c r="H71" s="52" t="s">
        <v>199</v>
      </c>
      <c r="I71" s="52" t="s">
        <v>198</v>
      </c>
    </row>
    <row r="72" spans="8:10" ht="15">
      <c r="H72" s="52" t="s">
        <v>192</v>
      </c>
      <c r="I72" s="52" t="s">
        <v>192</v>
      </c>
      <c r="J72" s="52" t="s">
        <v>20</v>
      </c>
    </row>
    <row r="73" spans="8:10" ht="15">
      <c r="H73" s="52" t="s">
        <v>1</v>
      </c>
      <c r="I73" s="52" t="s">
        <v>1</v>
      </c>
      <c r="J73" s="52" t="s">
        <v>1</v>
      </c>
    </row>
    <row r="74" spans="3:10" ht="15">
      <c r="C74" s="55" t="s">
        <v>269</v>
      </c>
      <c r="H74" s="39">
        <v>133134</v>
      </c>
      <c r="I74" s="39">
        <v>116865</v>
      </c>
      <c r="J74" s="39">
        <f>+H74+I74</f>
        <v>249999</v>
      </c>
    </row>
    <row r="75" spans="3:10" ht="15">
      <c r="C75" s="55" t="s">
        <v>200</v>
      </c>
      <c r="H75" s="166">
        <v>-1188</v>
      </c>
      <c r="I75" s="166">
        <v>-1376</v>
      </c>
      <c r="J75" s="166">
        <f>+H75+I75</f>
        <v>-2564</v>
      </c>
    </row>
    <row r="76" spans="3:10" ht="15.75" thickBot="1">
      <c r="C76" s="55" t="s">
        <v>356</v>
      </c>
      <c r="H76" s="80">
        <f>SUM(H74:H75)</f>
        <v>131946</v>
      </c>
      <c r="I76" s="80">
        <f>SUM(I74:I75)</f>
        <v>115489</v>
      </c>
      <c r="J76" s="168">
        <f>SUM(J74:J75)</f>
        <v>247435</v>
      </c>
    </row>
    <row r="77" ht="11.25" customHeight="1" thickTop="1"/>
    <row r="78" ht="15">
      <c r="B78" s="55" t="s">
        <v>357</v>
      </c>
    </row>
    <row r="79" ht="15">
      <c r="J79" s="52" t="s">
        <v>1</v>
      </c>
    </row>
    <row r="80" spans="3:10" ht="15">
      <c r="C80" s="55" t="s">
        <v>358</v>
      </c>
      <c r="J80" s="131">
        <f>+J76</f>
        <v>247435</v>
      </c>
    </row>
    <row r="81" spans="3:10" ht="15">
      <c r="C81" s="55" t="s">
        <v>201</v>
      </c>
      <c r="J81" s="124">
        <v>13544</v>
      </c>
    </row>
    <row r="82" spans="3:10" ht="15">
      <c r="C82" s="55"/>
      <c r="J82" s="39">
        <f>+J80+J81</f>
        <v>260979</v>
      </c>
    </row>
    <row r="83" spans="3:10" ht="15">
      <c r="C83" s="55" t="s">
        <v>359</v>
      </c>
      <c r="J83" s="39">
        <v>26498</v>
      </c>
    </row>
    <row r="84" spans="3:10" ht="15">
      <c r="C84" s="55" t="s">
        <v>273</v>
      </c>
      <c r="J84" s="39">
        <f>23889-2</f>
        <v>23887</v>
      </c>
    </row>
    <row r="85" spans="3:10" ht="15.75" thickBot="1">
      <c r="C85" s="55" t="s">
        <v>360</v>
      </c>
      <c r="J85" s="168">
        <f>SUM(J82:J84)</f>
        <v>311364</v>
      </c>
    </row>
    <row r="86" ht="15.75" thickTop="1">
      <c r="J86" s="65"/>
    </row>
    <row r="87" spans="1:4" ht="15">
      <c r="A87" s="55" t="s">
        <v>37</v>
      </c>
      <c r="B87" s="55" t="s">
        <v>361</v>
      </c>
      <c r="C87" s="55"/>
      <c r="D87" s="55"/>
    </row>
    <row r="88" spans="3:4" ht="15">
      <c r="C88" s="55"/>
      <c r="D88" s="55"/>
    </row>
    <row r="89" spans="2:4" ht="15">
      <c r="B89" s="55" t="s">
        <v>63</v>
      </c>
      <c r="C89" s="55" t="s">
        <v>302</v>
      </c>
      <c r="D89" s="55"/>
    </row>
    <row r="90" spans="3:4" ht="15">
      <c r="C90" s="55" t="s">
        <v>303</v>
      </c>
      <c r="D90" s="55"/>
    </row>
    <row r="91" spans="1:4" ht="15">
      <c r="A91" s="56"/>
      <c r="B91" s="39"/>
      <c r="C91" s="55" t="s">
        <v>304</v>
      </c>
      <c r="D91" s="55"/>
    </row>
    <row r="92" spans="1:10" ht="15">
      <c r="A92" s="56"/>
      <c r="B92" s="39"/>
      <c r="D92" s="55"/>
      <c r="E92" s="55"/>
      <c r="J92" s="160"/>
    </row>
    <row r="93" spans="1:4" ht="15" customHeight="1">
      <c r="A93" s="56"/>
      <c r="B93" s="55" t="s">
        <v>64</v>
      </c>
      <c r="C93" s="55" t="s">
        <v>305</v>
      </c>
      <c r="D93" s="55"/>
    </row>
    <row r="94" spans="1:4" ht="15" customHeight="1">
      <c r="A94" s="56"/>
      <c r="C94" s="55" t="s">
        <v>315</v>
      </c>
      <c r="D94" s="55"/>
    </row>
    <row r="95" spans="1:4" ht="15" customHeight="1">
      <c r="A95" s="56"/>
      <c r="C95" s="55" t="s">
        <v>306</v>
      </c>
      <c r="D95" s="55"/>
    </row>
    <row r="96" spans="1:4" ht="15" customHeight="1">
      <c r="A96" s="56"/>
      <c r="C96" s="55"/>
      <c r="D96" s="55"/>
    </row>
    <row r="97" spans="1:4" ht="15" customHeight="1">
      <c r="A97" s="56"/>
      <c r="B97" s="55" t="s">
        <v>65</v>
      </c>
      <c r="C97" s="55" t="s">
        <v>362</v>
      </c>
      <c r="D97" s="55"/>
    </row>
    <row r="98" spans="1:7" ht="15" customHeight="1">
      <c r="A98" s="56"/>
      <c r="C98" s="55" t="s">
        <v>366</v>
      </c>
      <c r="D98" s="55"/>
      <c r="G98" s="160"/>
    </row>
    <row r="99" spans="1:6" ht="15" customHeight="1">
      <c r="A99" s="56"/>
      <c r="C99" s="55" t="s">
        <v>406</v>
      </c>
      <c r="D99" s="55"/>
      <c r="F99" s="160"/>
    </row>
    <row r="100" spans="1:4" ht="15" customHeight="1">
      <c r="A100" s="56"/>
      <c r="C100" s="55"/>
      <c r="D100" s="55"/>
    </row>
    <row r="101" spans="1:4" ht="15" customHeight="1">
      <c r="A101" s="56"/>
      <c r="C101" s="55"/>
      <c r="D101" s="55"/>
    </row>
    <row r="102" spans="1:4" ht="15" customHeight="1">
      <c r="A102" s="56"/>
      <c r="C102" s="55"/>
      <c r="D102" s="55"/>
    </row>
    <row r="103" spans="1:4" ht="15" customHeight="1">
      <c r="A103" s="56"/>
      <c r="C103" s="55"/>
      <c r="D103" s="55"/>
    </row>
    <row r="104" spans="1:4" ht="14.25" customHeight="1">
      <c r="A104" s="56"/>
      <c r="C104" s="55"/>
      <c r="D104" s="55"/>
    </row>
    <row r="105" spans="1:4" ht="14.25" customHeight="1">
      <c r="A105" s="56"/>
      <c r="C105" s="55"/>
      <c r="D105" s="55"/>
    </row>
    <row r="106" spans="1:4" ht="15" customHeight="1">
      <c r="A106" s="56"/>
      <c r="C106" s="55"/>
      <c r="D106" s="55"/>
    </row>
    <row r="107" spans="1:4" ht="15" customHeight="1">
      <c r="A107" s="56"/>
      <c r="C107" s="55"/>
      <c r="D107" s="55"/>
    </row>
    <row r="108" spans="1:4" ht="15" customHeight="1">
      <c r="A108" s="56"/>
      <c r="C108" s="55"/>
      <c r="D108" s="55"/>
    </row>
    <row r="109" spans="1:4" ht="15">
      <c r="A109" s="55" t="s">
        <v>38</v>
      </c>
      <c r="B109" s="157" t="s">
        <v>363</v>
      </c>
      <c r="C109" s="55"/>
      <c r="D109" s="55"/>
    </row>
    <row r="110" spans="2:4" ht="4.5" customHeight="1">
      <c r="B110" s="57"/>
      <c r="C110" s="57"/>
      <c r="D110" s="57"/>
    </row>
    <row r="111" spans="2:18" ht="14.25" customHeight="1">
      <c r="B111" s="110" t="s">
        <v>2</v>
      </c>
      <c r="C111" s="55"/>
      <c r="F111" s="71"/>
      <c r="G111" s="71"/>
      <c r="H111" s="72"/>
      <c r="I111" s="184" t="s">
        <v>66</v>
      </c>
      <c r="J111" s="71" t="s">
        <v>67</v>
      </c>
      <c r="K111" s="71" t="s">
        <v>20</v>
      </c>
      <c r="L111" s="61"/>
      <c r="M111" s="61"/>
      <c r="N111" s="61"/>
      <c r="O111" s="61"/>
      <c r="P111" s="61"/>
      <c r="Q111" s="61"/>
      <c r="R111" s="61"/>
    </row>
    <row r="112" spans="3:18" ht="14.25" customHeight="1">
      <c r="C112" s="55"/>
      <c r="F112" s="71"/>
      <c r="G112" s="71"/>
      <c r="H112" s="72"/>
      <c r="I112" s="91"/>
      <c r="J112" s="71" t="s">
        <v>68</v>
      </c>
      <c r="K112" s="71"/>
      <c r="L112" s="61"/>
      <c r="M112" s="61"/>
      <c r="N112" s="61"/>
      <c r="O112" s="61"/>
      <c r="P112" s="61"/>
      <c r="Q112" s="61"/>
      <c r="R112" s="61"/>
    </row>
    <row r="113" spans="2:18" ht="15">
      <c r="B113" s="39"/>
      <c r="C113" s="55"/>
      <c r="D113" s="55"/>
      <c r="I113" s="39" t="s">
        <v>1</v>
      </c>
      <c r="J113" s="39" t="s">
        <v>1</v>
      </c>
      <c r="K113" s="39" t="s">
        <v>1</v>
      </c>
      <c r="N113" s="52"/>
      <c r="Q113" s="52"/>
      <c r="R113" s="52"/>
    </row>
    <row r="114" spans="2:18" ht="15">
      <c r="B114" s="55" t="s">
        <v>146</v>
      </c>
      <c r="C114" s="55"/>
      <c r="D114" s="55"/>
      <c r="I114" s="65">
        <v>1935697</v>
      </c>
      <c r="J114" s="65">
        <v>0</v>
      </c>
      <c r="K114" s="65">
        <f>SUM(I114:J114)</f>
        <v>1935697</v>
      </c>
      <c r="N114" s="52"/>
      <c r="Q114" s="52"/>
      <c r="R114" s="52"/>
    </row>
    <row r="115" spans="2:18" ht="15">
      <c r="B115" s="55" t="s">
        <v>150</v>
      </c>
      <c r="C115" s="55"/>
      <c r="D115" s="55"/>
      <c r="E115" s="62"/>
      <c r="F115" s="62"/>
      <c r="G115" s="62"/>
      <c r="H115" s="62"/>
      <c r="I115" s="65">
        <f>10515+603</f>
        <v>11118</v>
      </c>
      <c r="J115" s="65">
        <f>18886+2448</f>
        <v>21334</v>
      </c>
      <c r="K115" s="65">
        <f>SUM(I115:J115)</f>
        <v>32452</v>
      </c>
      <c r="N115" s="52"/>
      <c r="Q115" s="52"/>
      <c r="R115" s="52"/>
    </row>
    <row r="116" spans="2:18" ht="15">
      <c r="B116" s="55" t="s">
        <v>151</v>
      </c>
      <c r="C116" s="55"/>
      <c r="D116" s="55"/>
      <c r="E116" s="62"/>
      <c r="F116" s="62"/>
      <c r="G116" s="62"/>
      <c r="H116" s="62"/>
      <c r="I116" s="65">
        <v>0</v>
      </c>
      <c r="J116" s="65">
        <f>-J115-J114</f>
        <v>-21334</v>
      </c>
      <c r="K116" s="65">
        <f>SUM(I116:J116)</f>
        <v>-21334</v>
      </c>
      <c r="N116" s="52"/>
      <c r="Q116" s="52"/>
      <c r="R116" s="52"/>
    </row>
    <row r="117" spans="2:18" ht="15.75" thickBot="1">
      <c r="B117" s="63" t="s">
        <v>31</v>
      </c>
      <c r="C117" s="63"/>
      <c r="D117" s="63"/>
      <c r="F117" s="65"/>
      <c r="G117" s="65"/>
      <c r="H117" s="65"/>
      <c r="I117" s="80">
        <f>SUM(I114:I116)</f>
        <v>1946815</v>
      </c>
      <c r="J117" s="80">
        <f>SUM(J114:J116)</f>
        <v>0</v>
      </c>
      <c r="K117" s="80">
        <f>SUM(K114:K116)</f>
        <v>1946815</v>
      </c>
      <c r="N117" s="52"/>
      <c r="Q117" s="52"/>
      <c r="R117" s="52"/>
    </row>
    <row r="118" spans="3:18" ht="2.25" customHeight="1" thickTop="1">
      <c r="C118" s="55"/>
      <c r="D118" s="55"/>
      <c r="F118" s="65"/>
      <c r="G118" s="65"/>
      <c r="H118" s="65"/>
      <c r="I118" s="65"/>
      <c r="J118" s="65"/>
      <c r="N118" s="52"/>
      <c r="Q118" s="64"/>
      <c r="R118" s="64"/>
    </row>
    <row r="119" spans="2:4" ht="15">
      <c r="B119" s="110" t="s">
        <v>96</v>
      </c>
      <c r="C119" s="55"/>
      <c r="D119" s="55"/>
    </row>
    <row r="120" spans="2:18" ht="15">
      <c r="B120" s="55" t="s">
        <v>146</v>
      </c>
      <c r="C120" s="55"/>
      <c r="D120" s="55"/>
      <c r="I120"/>
      <c r="J120"/>
      <c r="K120" s="65">
        <f>359280-225-547+15</f>
        <v>358523</v>
      </c>
      <c r="N120" s="52"/>
      <c r="Q120" s="52"/>
      <c r="R120" s="52"/>
    </row>
    <row r="121" spans="2:18" ht="15">
      <c r="B121" s="55" t="s">
        <v>150</v>
      </c>
      <c r="C121" s="55"/>
      <c r="D121" s="55"/>
      <c r="I121"/>
      <c r="J121"/>
      <c r="K121" s="44">
        <f>-1839-12357-2098+2093</f>
        <v>-14201</v>
      </c>
      <c r="N121" s="52"/>
      <c r="Q121" s="52"/>
      <c r="R121" s="52"/>
    </row>
    <row r="122" spans="3:18" ht="15">
      <c r="C122" s="55"/>
      <c r="D122" s="55"/>
      <c r="I122" s="155"/>
      <c r="J122" s="155"/>
      <c r="K122" s="65">
        <f>SUM(K120:K121)</f>
        <v>344322</v>
      </c>
      <c r="N122" s="52"/>
      <c r="Q122" s="52"/>
      <c r="R122" s="52"/>
    </row>
    <row r="123" spans="2:18" ht="15">
      <c r="B123" s="55" t="s">
        <v>59</v>
      </c>
      <c r="C123" s="55"/>
      <c r="D123" s="55"/>
      <c r="F123" s="65"/>
      <c r="G123" s="65"/>
      <c r="H123" s="65"/>
      <c r="I123" s="65"/>
      <c r="J123" s="65"/>
      <c r="K123" s="44">
        <v>-2993</v>
      </c>
      <c r="N123" s="52"/>
      <c r="Q123" s="52"/>
      <c r="R123" s="52"/>
    </row>
    <row r="124" spans="2:18" ht="15">
      <c r="B124" s="63" t="s">
        <v>147</v>
      </c>
      <c r="C124" s="63"/>
      <c r="D124" s="63"/>
      <c r="F124" s="82"/>
      <c r="G124" s="82"/>
      <c r="H124" s="82"/>
      <c r="I124" s="82"/>
      <c r="J124" s="82"/>
      <c r="K124" s="82">
        <f>+K122+K123</f>
        <v>341329</v>
      </c>
      <c r="N124" s="52"/>
      <c r="Q124" s="52"/>
      <c r="R124" s="52"/>
    </row>
    <row r="125" spans="2:18" ht="15">
      <c r="B125" s="55" t="s">
        <v>3</v>
      </c>
      <c r="C125" s="55"/>
      <c r="D125" s="55"/>
      <c r="F125" s="65"/>
      <c r="G125" s="65"/>
      <c r="H125" s="65"/>
      <c r="I125" s="65"/>
      <c r="J125" s="65"/>
      <c r="K125" s="65">
        <f>+PL!H18</f>
        <v>-7935</v>
      </c>
      <c r="N125" s="66"/>
      <c r="Q125" s="64"/>
      <c r="R125" s="64"/>
    </row>
    <row r="126" spans="2:18" ht="15">
      <c r="B126" s="55" t="s">
        <v>26</v>
      </c>
      <c r="C126" s="55"/>
      <c r="D126" s="55"/>
      <c r="F126" s="65"/>
      <c r="G126" s="65"/>
      <c r="H126" s="65"/>
      <c r="I126" s="65"/>
      <c r="J126" s="65"/>
      <c r="K126" s="65">
        <v>43276</v>
      </c>
      <c r="N126" s="52"/>
      <c r="Q126" s="52"/>
      <c r="R126" s="52"/>
    </row>
    <row r="127" spans="2:18" ht="15">
      <c r="B127" s="55" t="s">
        <v>307</v>
      </c>
      <c r="C127" s="55"/>
      <c r="D127" s="55"/>
      <c r="F127" s="65"/>
      <c r="G127" s="65"/>
      <c r="H127" s="65"/>
      <c r="I127" s="65"/>
      <c r="J127" s="65"/>
      <c r="K127" s="65">
        <f>+PL!H17</f>
        <v>-2108</v>
      </c>
      <c r="N127" s="52"/>
      <c r="Q127" s="52"/>
      <c r="R127" s="52"/>
    </row>
    <row r="128" spans="2:18" ht="15">
      <c r="B128" s="55" t="s">
        <v>309</v>
      </c>
      <c r="C128" s="55"/>
      <c r="D128" s="55"/>
      <c r="F128" s="65"/>
      <c r="G128" s="65"/>
      <c r="H128" s="65"/>
      <c r="I128" s="65"/>
      <c r="J128" s="65"/>
      <c r="K128" s="44">
        <v>-404</v>
      </c>
      <c r="N128" s="52"/>
      <c r="Q128" s="52"/>
      <c r="R128" s="52"/>
    </row>
    <row r="129" spans="2:18" ht="15">
      <c r="B129" s="55" t="s">
        <v>92</v>
      </c>
      <c r="C129" s="55"/>
      <c r="D129" s="55"/>
      <c r="F129" s="65"/>
      <c r="G129" s="65"/>
      <c r="H129" s="65"/>
      <c r="I129" s="65"/>
      <c r="J129" s="65"/>
      <c r="K129" s="39">
        <f>SUM(K124:K128)</f>
        <v>374158</v>
      </c>
      <c r="N129" s="52"/>
      <c r="Q129" s="52"/>
      <c r="R129" s="52"/>
    </row>
    <row r="130" spans="2:18" ht="15">
      <c r="B130" s="55" t="s">
        <v>27</v>
      </c>
      <c r="C130" s="55"/>
      <c r="D130" s="55"/>
      <c r="F130" s="65"/>
      <c r="G130" s="65"/>
      <c r="H130" s="65"/>
      <c r="I130" s="65"/>
      <c r="J130" s="65"/>
      <c r="K130" s="44">
        <f>+PL!H23</f>
        <v>-117128</v>
      </c>
      <c r="N130" s="52"/>
      <c r="Q130" s="52"/>
      <c r="R130" s="52"/>
    </row>
    <row r="131" spans="2:18" ht="15.75" thickBot="1">
      <c r="B131" s="55" t="s">
        <v>154</v>
      </c>
      <c r="C131" s="55"/>
      <c r="D131" s="55"/>
      <c r="F131" s="65"/>
      <c r="G131" s="65"/>
      <c r="H131" s="65"/>
      <c r="I131" s="65"/>
      <c r="J131" s="65"/>
      <c r="K131" s="161">
        <f>+K129+K130</f>
        <v>257030</v>
      </c>
      <c r="N131" s="66"/>
      <c r="Q131" s="64"/>
      <c r="R131" s="64"/>
    </row>
    <row r="132" spans="2:18" ht="9" customHeight="1">
      <c r="B132" s="94"/>
      <c r="J132" s="65"/>
      <c r="N132" s="52"/>
      <c r="Q132" s="52"/>
      <c r="R132" s="52"/>
    </row>
    <row r="133" spans="1:4" ht="15">
      <c r="A133" s="55" t="s">
        <v>39</v>
      </c>
      <c r="B133" s="55" t="s">
        <v>155</v>
      </c>
      <c r="C133" s="55"/>
      <c r="D133" s="55"/>
    </row>
    <row r="134" spans="1:4" ht="15">
      <c r="A134" s="56"/>
      <c r="B134" s="55" t="s">
        <v>274</v>
      </c>
      <c r="C134" s="55"/>
      <c r="D134" s="55"/>
    </row>
    <row r="135" spans="2:4" ht="11.25" customHeight="1">
      <c r="B135" s="39"/>
      <c r="D135" s="55"/>
    </row>
    <row r="136" spans="1:4" ht="15">
      <c r="A136" s="55" t="s">
        <v>40</v>
      </c>
      <c r="B136" s="55" t="s">
        <v>364</v>
      </c>
      <c r="C136" s="55"/>
      <c r="D136" s="55"/>
    </row>
    <row r="137" spans="2:4" ht="15">
      <c r="B137" s="55" t="s">
        <v>90</v>
      </c>
      <c r="C137" s="57"/>
      <c r="D137" s="57"/>
    </row>
    <row r="138" spans="1:4" ht="12.75" customHeight="1">
      <c r="A138" s="39"/>
      <c r="B138" s="39"/>
      <c r="C138" s="55"/>
      <c r="D138" s="55"/>
    </row>
    <row r="139" spans="1:4" ht="15">
      <c r="A139" s="55" t="s">
        <v>41</v>
      </c>
      <c r="B139" s="55" t="s">
        <v>365</v>
      </c>
      <c r="C139" s="55"/>
      <c r="D139" s="55"/>
    </row>
    <row r="140" spans="2:4" ht="15">
      <c r="B140" s="55" t="s">
        <v>275</v>
      </c>
      <c r="C140" s="57"/>
      <c r="D140" s="57"/>
    </row>
    <row r="141" ht="15">
      <c r="B141" s="55" t="s">
        <v>290</v>
      </c>
    </row>
    <row r="142" spans="1:4" ht="15">
      <c r="A142" s="56"/>
      <c r="B142" s="55" t="s">
        <v>296</v>
      </c>
      <c r="C142" s="55"/>
      <c r="D142" s="55"/>
    </row>
    <row r="143" spans="1:4" ht="15">
      <c r="A143" s="56"/>
      <c r="B143" s="55" t="s">
        <v>289</v>
      </c>
      <c r="C143" s="55"/>
      <c r="D143" s="55"/>
    </row>
    <row r="144" spans="1:4" ht="15">
      <c r="A144" s="56"/>
      <c r="B144" s="55" t="s">
        <v>313</v>
      </c>
      <c r="C144" s="55"/>
      <c r="D144" s="55"/>
    </row>
    <row r="145" spans="1:4" ht="12.75" customHeight="1">
      <c r="A145" s="56"/>
      <c r="C145" s="55"/>
      <c r="D145" s="55"/>
    </row>
    <row r="146" spans="1:4" ht="15">
      <c r="A146" s="55" t="s">
        <v>42</v>
      </c>
      <c r="B146" s="55" t="s">
        <v>276</v>
      </c>
      <c r="C146" s="55"/>
      <c r="D146" s="55"/>
    </row>
    <row r="147" spans="2:4" ht="15">
      <c r="B147" s="55" t="s">
        <v>121</v>
      </c>
      <c r="C147" s="55"/>
      <c r="D147" s="55"/>
    </row>
    <row r="148" spans="3:4" ht="8.25" customHeight="1">
      <c r="C148" s="55"/>
      <c r="D148" s="55"/>
    </row>
    <row r="149" spans="2:11" ht="16.5" customHeight="1">
      <c r="B149" s="110" t="s">
        <v>123</v>
      </c>
      <c r="C149" s="55"/>
      <c r="E149" s="55"/>
      <c r="J149" s="52" t="s">
        <v>122</v>
      </c>
      <c r="K149" s="52" t="s">
        <v>1</v>
      </c>
    </row>
    <row r="150" spans="2:5" ht="15">
      <c r="B150" s="55" t="s">
        <v>217</v>
      </c>
      <c r="E150" s="55"/>
    </row>
    <row r="151" spans="2:4" ht="15">
      <c r="B151" s="55" t="s">
        <v>291</v>
      </c>
      <c r="D151" s="55"/>
    </row>
    <row r="152" spans="1:11" ht="15">
      <c r="A152" s="56"/>
      <c r="B152" s="39"/>
      <c r="C152" s="55" t="s">
        <v>392</v>
      </c>
      <c r="D152" s="55"/>
      <c r="J152" s="65">
        <v>13333</v>
      </c>
      <c r="K152" s="65">
        <f>+J152*3.8</f>
        <v>50665.399999999994</v>
      </c>
    </row>
    <row r="153" spans="1:4" ht="5.25" customHeight="1">
      <c r="A153" s="56"/>
      <c r="B153" s="39"/>
      <c r="D153" s="55"/>
    </row>
    <row r="154" spans="1:4" ht="15">
      <c r="A154" s="56"/>
      <c r="B154" s="88" t="s">
        <v>292</v>
      </c>
      <c r="D154" s="55"/>
    </row>
    <row r="155" spans="1:11" ht="15">
      <c r="A155" s="56"/>
      <c r="B155" s="39"/>
      <c r="C155" s="39" t="s">
        <v>269</v>
      </c>
      <c r="D155" s="55"/>
      <c r="J155" s="131">
        <v>790</v>
      </c>
      <c r="K155" s="131">
        <f>ROUND(+J155*3.8,0)</f>
        <v>3002</v>
      </c>
    </row>
    <row r="156" spans="1:11" ht="15">
      <c r="A156" s="56"/>
      <c r="B156" s="39"/>
      <c r="C156" s="39" t="s">
        <v>124</v>
      </c>
      <c r="D156" s="55"/>
      <c r="J156" s="178">
        <v>-599</v>
      </c>
      <c r="K156" s="178">
        <f>ROUND(+J156*3.8,0)</f>
        <v>-2276</v>
      </c>
    </row>
    <row r="157" spans="1:11" ht="15">
      <c r="A157" s="56"/>
      <c r="B157" s="39"/>
      <c r="C157" s="39" t="s">
        <v>356</v>
      </c>
      <c r="D157" s="55"/>
      <c r="J157" s="160">
        <f>+J155+J156</f>
        <v>191</v>
      </c>
      <c r="K157" s="39">
        <f>+K155+K156</f>
        <v>726</v>
      </c>
    </row>
    <row r="158" spans="1:11" ht="15.75" thickBot="1">
      <c r="A158" s="56"/>
      <c r="B158" s="55" t="s">
        <v>20</v>
      </c>
      <c r="D158" s="55"/>
      <c r="J158" s="80">
        <f>+J152+J157</f>
        <v>13524</v>
      </c>
      <c r="K158" s="80">
        <f>+K152+K157</f>
        <v>51391.399999999994</v>
      </c>
    </row>
    <row r="159" spans="1:4" ht="8.25" customHeight="1" thickTop="1">
      <c r="A159" s="56"/>
      <c r="B159" s="39"/>
      <c r="D159" s="55"/>
    </row>
    <row r="160" spans="1:4" ht="15" customHeight="1">
      <c r="A160" s="56"/>
      <c r="B160" s="55" t="s">
        <v>397</v>
      </c>
      <c r="D160" s="55"/>
    </row>
    <row r="161" spans="1:4" ht="15">
      <c r="A161" s="56"/>
      <c r="B161" s="55" t="s">
        <v>398</v>
      </c>
      <c r="D161" s="55"/>
    </row>
    <row r="163" spans="2:4" ht="15">
      <c r="B163" s="39"/>
      <c r="C163" s="55"/>
      <c r="D163" s="55"/>
    </row>
    <row r="164" spans="2:4" ht="15">
      <c r="B164" s="57"/>
      <c r="C164" s="67"/>
      <c r="D164" s="67"/>
    </row>
    <row r="165" spans="2:4" ht="15">
      <c r="B165" s="54"/>
      <c r="C165" s="54"/>
      <c r="D165" s="54"/>
    </row>
    <row r="170" spans="3:4" ht="15">
      <c r="C170" s="55"/>
      <c r="D170" s="55"/>
    </row>
    <row r="171" spans="3:4" ht="15">
      <c r="C171" s="55"/>
      <c r="D171" s="55"/>
    </row>
    <row r="172" spans="3:4" ht="15">
      <c r="C172" s="55"/>
      <c r="D172" s="55"/>
    </row>
    <row r="173" spans="3:4" ht="15">
      <c r="C173" s="55"/>
      <c r="D173" s="55"/>
    </row>
    <row r="174" spans="3:4" ht="15">
      <c r="C174" s="55"/>
      <c r="D174" s="55"/>
    </row>
    <row r="180" spans="3:19" ht="15">
      <c r="C180" s="55"/>
      <c r="D180" s="55"/>
      <c r="S180" s="52"/>
    </row>
    <row r="181" spans="3:14" ht="15">
      <c r="C181" s="55"/>
      <c r="D181" s="55"/>
      <c r="N181" s="52"/>
    </row>
    <row r="182" spans="3:19" ht="15">
      <c r="C182" s="55"/>
      <c r="D182" s="55"/>
      <c r="O182" s="52"/>
      <c r="S182" s="52"/>
    </row>
    <row r="184" spans="3:19" ht="15">
      <c r="C184" s="55"/>
      <c r="D184" s="55"/>
      <c r="S184" s="52"/>
    </row>
    <row r="187" spans="3:4" ht="15">
      <c r="C187" s="55"/>
      <c r="D187" s="55"/>
    </row>
    <row r="188" spans="3:12" ht="15">
      <c r="C188" s="55"/>
      <c r="D188" s="55"/>
      <c r="L188" s="52"/>
    </row>
    <row r="191" spans="3:4" ht="15">
      <c r="C191" s="55"/>
      <c r="D191" s="55"/>
    </row>
  </sheetData>
  <mergeCells count="7">
    <mergeCell ref="I59:J59"/>
    <mergeCell ref="I60:J60"/>
    <mergeCell ref="G60:H60"/>
    <mergeCell ref="D44:F44"/>
    <mergeCell ref="G45:H45"/>
    <mergeCell ref="I45:J45"/>
    <mergeCell ref="I44:J44"/>
  </mergeCells>
  <printOptions/>
  <pageMargins left="0.75" right="0.49" top="0.86" bottom="0.81" header="0.5" footer="0.5"/>
  <pageSetup firstPageNumber="5" useFirstPageNumber="1" horizontalDpi="600" verticalDpi="600" orientation="portrait" paperSize="9" scale="97" r:id="rId1"/>
  <headerFooter alignWithMargins="0">
    <oddHeader>&amp;R&amp;"Arial,Bold"Berjaya Sports Toto Berhad&amp;U
&amp;9&amp;U(&amp;"Arial,Regular"Company No. 9109-K)
Quarterly Report 31-1-2005</oddHeader>
    <oddFooter>&amp;R&amp;"Arial,Bold"    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21"/>
  <sheetViews>
    <sheetView showGridLines="0" tabSelected="1" workbookViewId="0" topLeftCell="A133">
      <selection activeCell="F137" sqref="F137"/>
    </sheetView>
  </sheetViews>
  <sheetFormatPr defaultColWidth="9.140625" defaultRowHeight="12.75"/>
  <cols>
    <col min="1" max="1" width="4.28125" style="2" customWidth="1"/>
    <col min="2" max="2" width="3.7109375" style="2" customWidth="1"/>
    <col min="3" max="3" width="7.8515625" style="2" customWidth="1"/>
    <col min="4" max="5" width="9.140625" style="2" customWidth="1"/>
    <col min="6" max="6" width="12.28125" style="2" customWidth="1"/>
    <col min="7" max="7" width="10.8515625" style="2" customWidth="1"/>
    <col min="8" max="8" width="10.140625" style="68" customWidth="1"/>
    <col min="9" max="9" width="10.28125" style="68" customWidth="1"/>
    <col min="10" max="10" width="9.28125" style="68" customWidth="1"/>
    <col min="11" max="11" width="7.140625" style="2" customWidth="1"/>
    <col min="12" max="12" width="7.8515625" style="2" customWidth="1"/>
    <col min="13" max="13" width="16.421875" style="2" customWidth="1"/>
    <col min="14" max="14" width="6.00390625" style="2" customWidth="1"/>
    <col min="15" max="15" width="6.140625" style="2" customWidth="1"/>
    <col min="16" max="16" width="5.57421875" style="2" customWidth="1"/>
    <col min="17" max="16384" width="9.140625" style="2" customWidth="1"/>
  </cols>
  <sheetData>
    <row r="1" spans="2:9" ht="15">
      <c r="B1" s="54"/>
      <c r="C1" s="54"/>
      <c r="D1" s="54"/>
      <c r="E1" s="39"/>
      <c r="F1" s="39"/>
      <c r="G1" s="39"/>
      <c r="H1" s="73"/>
      <c r="I1" s="73"/>
    </row>
    <row r="2" spans="2:9" ht="9.75" customHeight="1">
      <c r="B2" s="54"/>
      <c r="C2" s="54"/>
      <c r="D2" s="54"/>
      <c r="E2" s="39"/>
      <c r="F2" s="39"/>
      <c r="G2" s="39"/>
      <c r="H2" s="73"/>
      <c r="I2" s="73"/>
    </row>
    <row r="3" spans="2:9" ht="3" customHeight="1">
      <c r="B3" s="54"/>
      <c r="C3" s="54"/>
      <c r="D3" s="54"/>
      <c r="E3" s="39"/>
      <c r="F3" s="39"/>
      <c r="G3" s="39"/>
      <c r="H3" s="73"/>
      <c r="I3" s="73"/>
    </row>
    <row r="4" spans="1:9" ht="15">
      <c r="A4" s="5" t="str">
        <f>PL!A5</f>
        <v>UNAUDITED QUARTERLY FINANCIAL REPORT FOR THE PERIOD ENDED 31 JANUARY 2005</v>
      </c>
      <c r="B4" s="54"/>
      <c r="C4" s="54"/>
      <c r="D4" s="54"/>
      <c r="E4" s="39"/>
      <c r="F4" s="39"/>
      <c r="G4" s="39"/>
      <c r="H4" s="73"/>
      <c r="I4" s="73"/>
    </row>
    <row r="5" spans="1:9" ht="15">
      <c r="A5" s="53" t="s">
        <v>278</v>
      </c>
      <c r="B5" s="54"/>
      <c r="C5" s="54"/>
      <c r="D5" s="54"/>
      <c r="E5" s="39"/>
      <c r="F5" s="39"/>
      <c r="G5" s="39"/>
      <c r="H5" s="73"/>
      <c r="I5" s="73"/>
    </row>
    <row r="6" spans="1:9" ht="15">
      <c r="A6" s="53" t="s">
        <v>279</v>
      </c>
      <c r="B6" s="54"/>
      <c r="C6" s="54"/>
      <c r="D6" s="54"/>
      <c r="E6" s="39"/>
      <c r="F6" s="39"/>
      <c r="G6" s="39"/>
      <c r="H6" s="73"/>
      <c r="I6" s="73"/>
    </row>
    <row r="7" spans="1:9" ht="9.75" customHeight="1">
      <c r="A7" s="55"/>
      <c r="B7" s="55"/>
      <c r="C7" s="55"/>
      <c r="D7" s="55"/>
      <c r="E7" s="39"/>
      <c r="F7" s="39"/>
      <c r="G7" s="39"/>
      <c r="H7" s="73"/>
      <c r="I7" s="73"/>
    </row>
    <row r="8" spans="1:9" ht="15">
      <c r="A8" s="55" t="s">
        <v>43</v>
      </c>
      <c r="B8" s="55" t="s">
        <v>367</v>
      </c>
      <c r="C8" s="55"/>
      <c r="D8" s="55"/>
      <c r="E8" s="39"/>
      <c r="F8" s="39"/>
      <c r="G8" s="39"/>
      <c r="H8" s="73"/>
      <c r="I8" s="73"/>
    </row>
    <row r="9" spans="1:10" ht="15">
      <c r="A9" s="55"/>
      <c r="B9" s="2" t="s">
        <v>368</v>
      </c>
      <c r="F9" s="39"/>
      <c r="G9" s="39"/>
      <c r="H9"/>
      <c r="I9"/>
      <c r="J9" s="76"/>
    </row>
    <row r="10" spans="1:10" ht="15">
      <c r="A10" s="55"/>
      <c r="F10" s="39"/>
      <c r="G10" s="39"/>
      <c r="H10"/>
      <c r="I10"/>
      <c r="J10" s="76"/>
    </row>
    <row r="11" spans="1:10" ht="15">
      <c r="A11" s="55"/>
      <c r="B11" s="2" t="s">
        <v>369</v>
      </c>
      <c r="F11" s="39"/>
      <c r="G11" s="39"/>
      <c r="H11"/>
      <c r="I11"/>
      <c r="J11" s="76"/>
    </row>
    <row r="12" spans="1:10" ht="15">
      <c r="A12" s="55"/>
      <c r="B12" s="2" t="s">
        <v>370</v>
      </c>
      <c r="F12" s="39"/>
      <c r="G12" s="39"/>
      <c r="H12"/>
      <c r="I12"/>
      <c r="J12" s="76"/>
    </row>
    <row r="13" spans="1:10" ht="15">
      <c r="A13" s="55"/>
      <c r="B13" s="2" t="s">
        <v>371</v>
      </c>
      <c r="F13" s="39"/>
      <c r="G13" s="39"/>
      <c r="H13"/>
      <c r="I13"/>
      <c r="J13" s="76"/>
    </row>
    <row r="14" spans="1:9" ht="15">
      <c r="A14" s="55"/>
      <c r="B14" s="2" t="s">
        <v>372</v>
      </c>
      <c r="C14" s="57"/>
      <c r="D14" s="57"/>
      <c r="E14" s="39"/>
      <c r="F14" s="39"/>
      <c r="G14" s="39"/>
      <c r="H14" s="75"/>
      <c r="I14" s="75"/>
    </row>
    <row r="15" spans="1:9" ht="15">
      <c r="A15" s="55"/>
      <c r="B15" s="2" t="s">
        <v>373</v>
      </c>
      <c r="G15" s="39"/>
      <c r="H15" s="75"/>
      <c r="I15" s="75"/>
    </row>
    <row r="16" spans="1:9" ht="15">
      <c r="A16" s="55"/>
      <c r="G16" s="39"/>
      <c r="H16" s="75"/>
      <c r="I16" s="75"/>
    </row>
    <row r="17" spans="1:9" ht="15">
      <c r="A17" s="55"/>
      <c r="B17" s="2" t="s">
        <v>374</v>
      </c>
      <c r="G17" s="39"/>
      <c r="H17" s="75"/>
      <c r="I17" s="75"/>
    </row>
    <row r="18" spans="1:9" ht="15">
      <c r="A18" s="55"/>
      <c r="B18" s="2" t="s">
        <v>375</v>
      </c>
      <c r="G18" s="39"/>
      <c r="H18" s="75"/>
      <c r="I18" s="75"/>
    </row>
    <row r="19" spans="1:9" ht="15">
      <c r="A19" s="55"/>
      <c r="G19" s="39"/>
      <c r="H19" s="75"/>
      <c r="I19" s="75"/>
    </row>
    <row r="20" spans="1:9" ht="15">
      <c r="A20" s="55"/>
      <c r="B20" s="2" t="s">
        <v>376</v>
      </c>
      <c r="G20" s="39"/>
      <c r="H20" s="75"/>
      <c r="I20" s="75"/>
    </row>
    <row r="21" spans="1:9" ht="15">
      <c r="A21" s="55"/>
      <c r="B21" s="2" t="s">
        <v>377</v>
      </c>
      <c r="G21" s="39"/>
      <c r="H21" s="75"/>
      <c r="I21" s="75"/>
    </row>
    <row r="22" spans="1:9" ht="15">
      <c r="A22" s="55"/>
      <c r="B22" s="2" t="s">
        <v>417</v>
      </c>
      <c r="G22" s="39"/>
      <c r="H22" s="75"/>
      <c r="I22" s="75"/>
    </row>
    <row r="23" spans="1:9" ht="15">
      <c r="A23" s="55"/>
      <c r="B23" s="2" t="s">
        <v>378</v>
      </c>
      <c r="G23" s="39"/>
      <c r="H23" s="75"/>
      <c r="I23" s="75"/>
    </row>
    <row r="24" spans="1:9" ht="15">
      <c r="A24" s="55"/>
      <c r="G24" s="39"/>
      <c r="H24" s="75"/>
      <c r="I24" s="75"/>
    </row>
    <row r="25" spans="1:9" ht="15">
      <c r="A25" s="55" t="s">
        <v>44</v>
      </c>
      <c r="B25" s="55" t="s">
        <v>379</v>
      </c>
      <c r="C25" s="55"/>
      <c r="D25" s="55"/>
      <c r="E25" s="39"/>
      <c r="F25" s="39"/>
      <c r="G25" s="39"/>
      <c r="H25" s="73"/>
      <c r="I25" s="73"/>
    </row>
    <row r="26" spans="1:9" ht="15">
      <c r="A26" s="55"/>
      <c r="B26" s="55" t="s">
        <v>380</v>
      </c>
      <c r="C26" s="55"/>
      <c r="D26" s="55"/>
      <c r="E26" s="39"/>
      <c r="F26" s="39"/>
      <c r="G26" s="39"/>
      <c r="H26" s="174"/>
      <c r="I26" s="73"/>
    </row>
    <row r="27" spans="1:9" ht="15">
      <c r="A27" s="55"/>
      <c r="B27" s="55" t="s">
        <v>399</v>
      </c>
      <c r="C27" s="55"/>
      <c r="D27" s="55"/>
      <c r="E27" s="39"/>
      <c r="F27" s="39"/>
      <c r="G27" s="39"/>
      <c r="H27" s="174"/>
      <c r="I27" s="73"/>
    </row>
    <row r="28" spans="1:9" ht="15">
      <c r="A28" s="55"/>
      <c r="B28" s="55" t="s">
        <v>381</v>
      </c>
      <c r="C28" s="55"/>
      <c r="D28" s="55"/>
      <c r="E28" s="39"/>
      <c r="F28" s="39"/>
      <c r="G28" s="39"/>
      <c r="H28" s="174"/>
      <c r="I28" s="73"/>
    </row>
    <row r="29" spans="1:9" ht="15">
      <c r="A29" s="55"/>
      <c r="B29" s="55"/>
      <c r="C29" s="55"/>
      <c r="D29" s="55"/>
      <c r="E29" s="39"/>
      <c r="F29" s="39"/>
      <c r="G29" s="39"/>
      <c r="H29" s="174"/>
      <c r="I29" s="73"/>
    </row>
    <row r="30" spans="1:9" ht="15">
      <c r="A30" s="55"/>
      <c r="B30" s="55" t="s">
        <v>382</v>
      </c>
      <c r="C30" s="55"/>
      <c r="D30" s="55"/>
      <c r="E30" s="39"/>
      <c r="F30" s="39"/>
      <c r="G30" s="39"/>
      <c r="H30" s="174"/>
      <c r="I30" s="73"/>
    </row>
    <row r="31" spans="1:9" ht="15">
      <c r="A31" s="55"/>
      <c r="B31" s="55" t="s">
        <v>383</v>
      </c>
      <c r="C31" s="55"/>
      <c r="D31" s="55"/>
      <c r="E31" s="39"/>
      <c r="F31" s="39"/>
      <c r="G31" s="39"/>
      <c r="H31" s="73"/>
      <c r="I31" s="73"/>
    </row>
    <row r="32" spans="1:9" ht="15" customHeight="1">
      <c r="A32" s="55"/>
      <c r="B32" s="55" t="s">
        <v>384</v>
      </c>
      <c r="C32" s="55"/>
      <c r="D32" s="55"/>
      <c r="E32" s="39"/>
      <c r="F32" s="39"/>
      <c r="G32" s="39"/>
      <c r="H32" s="73"/>
      <c r="I32" s="73"/>
    </row>
    <row r="33" spans="1:9" ht="15" customHeight="1">
      <c r="A33" s="55"/>
      <c r="B33" s="55" t="s">
        <v>385</v>
      </c>
      <c r="C33" s="55"/>
      <c r="D33" s="55"/>
      <c r="E33" s="39"/>
      <c r="F33" s="39"/>
      <c r="G33" s="39"/>
      <c r="H33" s="73"/>
      <c r="I33" s="73"/>
    </row>
    <row r="34" spans="1:9" ht="12.75" customHeight="1">
      <c r="A34" s="55"/>
      <c r="B34" s="55"/>
      <c r="C34" s="55"/>
      <c r="D34" s="55"/>
      <c r="E34" s="39"/>
      <c r="F34" s="39"/>
      <c r="G34" s="39"/>
      <c r="H34" s="73"/>
      <c r="I34" s="73"/>
    </row>
    <row r="35" spans="1:9" ht="15">
      <c r="A35" s="55" t="s">
        <v>45</v>
      </c>
      <c r="B35" s="55" t="s">
        <v>409</v>
      </c>
      <c r="C35" s="55"/>
      <c r="D35" s="55"/>
      <c r="E35" s="39"/>
      <c r="F35" s="39"/>
      <c r="G35" s="39"/>
      <c r="H35" s="73"/>
      <c r="I35" s="73"/>
    </row>
    <row r="36" spans="1:9" ht="15">
      <c r="A36" s="55"/>
      <c r="B36" s="55" t="s">
        <v>400</v>
      </c>
      <c r="C36" s="55"/>
      <c r="D36" s="55"/>
      <c r="E36" s="39"/>
      <c r="F36" s="39"/>
      <c r="G36" s="39"/>
      <c r="H36" s="73"/>
      <c r="I36" s="73"/>
    </row>
    <row r="37" spans="1:9" ht="15">
      <c r="A37" s="55"/>
      <c r="B37" s="55" t="s">
        <v>401</v>
      </c>
      <c r="C37" s="55"/>
      <c r="D37" s="55"/>
      <c r="E37" s="39"/>
      <c r="F37" s="39"/>
      <c r="G37" s="39"/>
      <c r="H37" s="73"/>
      <c r="I37" s="73"/>
    </row>
    <row r="38" spans="1:9" ht="11.25" customHeight="1">
      <c r="A38" s="55"/>
      <c r="B38" s="55"/>
      <c r="C38" s="55"/>
      <c r="D38" s="55"/>
      <c r="E38" s="39"/>
      <c r="F38" s="39"/>
      <c r="G38" s="39"/>
      <c r="H38" s="73"/>
      <c r="I38" s="73"/>
    </row>
    <row r="39" spans="1:9" ht="15">
      <c r="A39" s="56" t="s">
        <v>47</v>
      </c>
      <c r="B39" s="55" t="s">
        <v>280</v>
      </c>
      <c r="C39" s="55"/>
      <c r="D39" s="39"/>
      <c r="E39" s="39"/>
      <c r="F39" s="39"/>
      <c r="G39" s="39"/>
      <c r="H39" s="73"/>
      <c r="I39" s="73"/>
    </row>
    <row r="40" spans="2:9" ht="12" customHeight="1">
      <c r="B40" s="55"/>
      <c r="C40" s="55"/>
      <c r="D40" s="39"/>
      <c r="E40" s="39"/>
      <c r="F40" s="39"/>
      <c r="G40" s="39"/>
      <c r="H40" s="73"/>
      <c r="I40" s="73"/>
    </row>
    <row r="41" spans="1:2" ht="15" customHeight="1">
      <c r="A41" s="2" t="s">
        <v>48</v>
      </c>
      <c r="B41" s="2" t="s">
        <v>14</v>
      </c>
    </row>
    <row r="42" spans="7:9" ht="15" customHeight="1">
      <c r="G42" s="27" t="s">
        <v>49</v>
      </c>
      <c r="H42" s="2"/>
      <c r="I42" s="27" t="s">
        <v>281</v>
      </c>
    </row>
    <row r="43" spans="2:9" ht="14.25" customHeight="1">
      <c r="B43" s="4"/>
      <c r="C43" s="4"/>
      <c r="D43" s="4"/>
      <c r="E43" s="4"/>
      <c r="F43" s="4"/>
      <c r="G43" s="27" t="s">
        <v>50</v>
      </c>
      <c r="H43" s="2"/>
      <c r="I43" s="163" t="s">
        <v>325</v>
      </c>
    </row>
    <row r="44" spans="2:9" ht="15" customHeight="1">
      <c r="B44" s="4"/>
      <c r="C44" s="4"/>
      <c r="D44" s="4"/>
      <c r="E44" s="4"/>
      <c r="F44" s="4"/>
      <c r="G44" s="113" t="s">
        <v>1</v>
      </c>
      <c r="H44" s="2"/>
      <c r="I44" s="113" t="s">
        <v>1</v>
      </c>
    </row>
    <row r="45" spans="2:9" ht="15" customHeight="1">
      <c r="B45" s="2" t="s">
        <v>221</v>
      </c>
      <c r="G45" s="73"/>
      <c r="H45" s="73"/>
      <c r="I45" s="65"/>
    </row>
    <row r="46" spans="2:9" ht="15" customHeight="1">
      <c r="B46" s="58" t="s">
        <v>24</v>
      </c>
      <c r="C46" s="58"/>
      <c r="D46" s="58"/>
      <c r="E46" s="58"/>
      <c r="F46" s="58"/>
      <c r="G46" s="39">
        <f>+I46-72841</f>
        <v>38486</v>
      </c>
      <c r="H46" s="39"/>
      <c r="I46" s="160">
        <f>111326+1</f>
        <v>111327</v>
      </c>
    </row>
    <row r="47" spans="2:9" ht="15" customHeight="1">
      <c r="B47" s="58" t="s">
        <v>125</v>
      </c>
      <c r="C47" s="58"/>
      <c r="D47" s="58"/>
      <c r="E47" s="58"/>
      <c r="F47" s="58"/>
      <c r="G47" s="82">
        <f>+I47-2170</f>
        <v>1212</v>
      </c>
      <c r="H47" s="73"/>
      <c r="I47" s="65">
        <v>3382</v>
      </c>
    </row>
    <row r="48" spans="2:9" ht="15" customHeight="1">
      <c r="B48" s="2" t="s">
        <v>312</v>
      </c>
      <c r="C48" s="58"/>
      <c r="D48" s="58"/>
      <c r="E48" s="58"/>
      <c r="F48" s="58"/>
      <c r="G48" s="82">
        <f>+I48--823</f>
        <v>0</v>
      </c>
      <c r="H48" s="73"/>
      <c r="I48" s="65">
        <v>-823</v>
      </c>
    </row>
    <row r="49" spans="2:9" ht="15" customHeight="1">
      <c r="B49" s="2" t="s">
        <v>320</v>
      </c>
      <c r="C49" s="58"/>
      <c r="D49" s="58"/>
      <c r="E49" s="58"/>
      <c r="F49" s="58"/>
      <c r="G49" s="82">
        <f>+I49-3242</f>
        <v>0</v>
      </c>
      <c r="H49" s="73"/>
      <c r="I49" s="65">
        <v>3242</v>
      </c>
    </row>
    <row r="50" spans="2:9" ht="15" customHeight="1" thickBot="1">
      <c r="B50" s="4"/>
      <c r="C50" s="77"/>
      <c r="D50" s="77"/>
      <c r="E50" s="4"/>
      <c r="F50" s="4"/>
      <c r="G50" s="180">
        <f>SUM(G46:G49)</f>
        <v>39698</v>
      </c>
      <c r="H50" s="73"/>
      <c r="I50" s="80">
        <f>SUM(I46:I49)</f>
        <v>117128</v>
      </c>
    </row>
    <row r="51" spans="2:9" ht="15" customHeight="1" thickTop="1">
      <c r="B51" s="4"/>
      <c r="C51" s="77"/>
      <c r="D51" s="77"/>
      <c r="E51" s="4"/>
      <c r="F51" s="4"/>
      <c r="G51" s="182"/>
      <c r="H51" s="73"/>
      <c r="I51" s="65"/>
    </row>
    <row r="52" spans="2:9" ht="15" customHeight="1">
      <c r="B52" s="4"/>
      <c r="C52" s="77"/>
      <c r="D52" s="77"/>
      <c r="E52" s="4"/>
      <c r="F52" s="4"/>
      <c r="G52" s="182"/>
      <c r="H52" s="73"/>
      <c r="I52" s="65"/>
    </row>
    <row r="53" spans="2:9" ht="15" customHeight="1">
      <c r="B53" s="4"/>
      <c r="C53" s="77"/>
      <c r="D53" s="77"/>
      <c r="E53" s="4"/>
      <c r="F53" s="4"/>
      <c r="G53" s="182"/>
      <c r="H53" s="73"/>
      <c r="I53" s="65"/>
    </row>
    <row r="54" spans="2:9" ht="15" customHeight="1">
      <c r="B54" s="4"/>
      <c r="C54" s="77"/>
      <c r="D54" s="77"/>
      <c r="E54" s="4"/>
      <c r="F54" s="4"/>
      <c r="G54" s="182"/>
      <c r="H54" s="73"/>
      <c r="I54" s="65"/>
    </row>
    <row r="55" spans="2:9" ht="12" customHeight="1">
      <c r="B55" s="55"/>
      <c r="C55" s="55"/>
      <c r="D55" s="39"/>
      <c r="E55" s="39"/>
      <c r="F55" s="39"/>
      <c r="G55" s="39"/>
      <c r="H55" s="73"/>
      <c r="I55" s="73"/>
    </row>
    <row r="56" spans="2:10" ht="9.75" customHeight="1">
      <c r="B56" s="4"/>
      <c r="C56" s="77"/>
      <c r="D56" s="77"/>
      <c r="E56" s="4"/>
      <c r="F56" s="4"/>
      <c r="G56" s="4"/>
      <c r="H56" s="74"/>
      <c r="I56" s="74"/>
      <c r="J56" s="74"/>
    </row>
    <row r="57" spans="1:4" ht="15">
      <c r="A57" s="2" t="s">
        <v>48</v>
      </c>
      <c r="B57" s="2" t="s">
        <v>326</v>
      </c>
      <c r="C57" s="58"/>
      <c r="D57" s="58"/>
    </row>
    <row r="58" ht="15">
      <c r="B58" s="2" t="s">
        <v>282</v>
      </c>
    </row>
    <row r="60" spans="1:2" ht="15">
      <c r="A60" s="2" t="s">
        <v>53</v>
      </c>
      <c r="B60" s="2" t="s">
        <v>156</v>
      </c>
    </row>
    <row r="61" spans="2:3" ht="15">
      <c r="B61" s="55" t="s">
        <v>212</v>
      </c>
      <c r="C61" s="57"/>
    </row>
    <row r="62" ht="15">
      <c r="B62" s="55" t="s">
        <v>327</v>
      </c>
    </row>
    <row r="63" ht="15">
      <c r="B63" s="55"/>
    </row>
    <row r="64" spans="1:2" ht="15">
      <c r="A64" s="2" t="s">
        <v>52</v>
      </c>
      <c r="B64" s="2" t="s">
        <v>126</v>
      </c>
    </row>
    <row r="65" spans="2:9" ht="12.75" customHeight="1">
      <c r="B65" s="55"/>
      <c r="C65" s="57"/>
      <c r="D65" s="57"/>
      <c r="H65" s="27"/>
      <c r="I65" s="27"/>
    </row>
    <row r="66" spans="2:3" ht="15">
      <c r="B66" s="2" t="s">
        <v>61</v>
      </c>
      <c r="C66" s="2" t="s">
        <v>328</v>
      </c>
    </row>
    <row r="67" spans="7:9" ht="6.75" customHeight="1">
      <c r="G67" s="152"/>
      <c r="H67" s="153"/>
      <c r="I67" s="153"/>
    </row>
    <row r="68" spans="7:11" ht="12.75" customHeight="1">
      <c r="G68" s="27" t="s">
        <v>49</v>
      </c>
      <c r="H68" s="2"/>
      <c r="I68" s="27" t="s">
        <v>281</v>
      </c>
      <c r="J68" s="76"/>
      <c r="K68" s="76"/>
    </row>
    <row r="69" spans="7:11" ht="12.75" customHeight="1">
      <c r="G69" s="27" t="s">
        <v>50</v>
      </c>
      <c r="H69" s="2"/>
      <c r="I69" s="163" t="s">
        <v>325</v>
      </c>
      <c r="J69" s="76"/>
      <c r="K69" s="76"/>
    </row>
    <row r="70" spans="3:11" ht="12.75" customHeight="1">
      <c r="C70" s="98"/>
      <c r="G70" s="52" t="s">
        <v>1</v>
      </c>
      <c r="I70" s="76" t="s">
        <v>1</v>
      </c>
      <c r="J70" s="76"/>
      <c r="K70" s="76"/>
    </row>
    <row r="71" spans="9:11" ht="12.75" customHeight="1">
      <c r="I71" s="76"/>
      <c r="J71" s="76"/>
      <c r="K71" s="76"/>
    </row>
    <row r="72" spans="3:11" ht="12.75" customHeight="1" thickBot="1">
      <c r="C72" s="2" t="s">
        <v>227</v>
      </c>
      <c r="G72" s="181">
        <f>+I72-2396</f>
        <v>0</v>
      </c>
      <c r="I72" s="187">
        <v>2396</v>
      </c>
      <c r="J72" s="76"/>
      <c r="K72" s="76"/>
    </row>
    <row r="73" spans="9:11" ht="12.75" customHeight="1" thickTop="1">
      <c r="I73" s="76"/>
      <c r="J73" s="76"/>
      <c r="K73" s="76"/>
    </row>
    <row r="74" spans="2:3" ht="15">
      <c r="B74" s="2" t="s">
        <v>62</v>
      </c>
      <c r="C74" s="2" t="s">
        <v>329</v>
      </c>
    </row>
    <row r="75" spans="7:12" ht="15">
      <c r="G75" s="59"/>
      <c r="H75" s="2"/>
      <c r="I75" s="165" t="s">
        <v>1</v>
      </c>
      <c r="L75" s="59"/>
    </row>
    <row r="76" spans="2:12" ht="15.75" thickBot="1">
      <c r="B76" s="2" t="s">
        <v>63</v>
      </c>
      <c r="C76" s="2" t="s">
        <v>241</v>
      </c>
      <c r="G76" s="4"/>
      <c r="I76" s="188">
        <f>3428+1794+22697</f>
        <v>27919</v>
      </c>
      <c r="L76" s="4"/>
    </row>
    <row r="77" spans="2:12" ht="16.5" thickBot="1" thickTop="1">
      <c r="B77" s="2" t="s">
        <v>64</v>
      </c>
      <c r="C77" s="2" t="s">
        <v>242</v>
      </c>
      <c r="G77" s="4"/>
      <c r="I77" s="189">
        <v>22756</v>
      </c>
      <c r="L77" s="4"/>
    </row>
    <row r="78" spans="2:12" ht="16.5" thickBot="1" thickTop="1">
      <c r="B78" s="2" t="s">
        <v>65</v>
      </c>
      <c r="C78" s="2" t="s">
        <v>243</v>
      </c>
      <c r="G78" s="4"/>
      <c r="H78" s="2"/>
      <c r="I78" s="188">
        <v>22889</v>
      </c>
      <c r="L78" s="4"/>
    </row>
    <row r="79" spans="8:9" ht="15.75" thickTop="1">
      <c r="H79" s="27"/>
      <c r="I79" s="2"/>
    </row>
    <row r="80" spans="1:2" ht="15">
      <c r="A80" s="2" t="s">
        <v>51</v>
      </c>
      <c r="B80" s="2" t="s">
        <v>178</v>
      </c>
    </row>
    <row r="81" ht="15">
      <c r="B81" s="2" t="s">
        <v>127</v>
      </c>
    </row>
    <row r="82" spans="2:4" ht="12.75" customHeight="1">
      <c r="B82" s="60"/>
      <c r="C82" s="60"/>
      <c r="D82" s="60"/>
    </row>
    <row r="83" spans="2:4" ht="15">
      <c r="B83" s="2" t="s">
        <v>202</v>
      </c>
      <c r="C83" s="60"/>
      <c r="D83" s="60"/>
    </row>
    <row r="84" spans="2:4" ht="15">
      <c r="B84" s="2" t="s">
        <v>121</v>
      </c>
      <c r="C84" s="60"/>
      <c r="D84" s="60"/>
    </row>
    <row r="85" spans="3:4" ht="12.75" customHeight="1">
      <c r="C85" s="60"/>
      <c r="D85" s="60"/>
    </row>
    <row r="86" spans="1:9" ht="15">
      <c r="A86" s="58"/>
      <c r="B86" s="2" t="s">
        <v>179</v>
      </c>
      <c r="H86" s="27"/>
      <c r="I86" s="27"/>
    </row>
    <row r="87" spans="1:9" ht="15">
      <c r="A87" s="58"/>
      <c r="B87" s="2" t="s">
        <v>180</v>
      </c>
      <c r="H87" s="27"/>
      <c r="I87" s="27"/>
    </row>
    <row r="88" spans="1:9" ht="15">
      <c r="A88" s="58"/>
      <c r="B88" s="2" t="s">
        <v>330</v>
      </c>
      <c r="H88" s="27"/>
      <c r="I88" s="27"/>
    </row>
    <row r="89" spans="1:9" ht="15">
      <c r="A89" s="58"/>
      <c r="B89" s="2" t="s">
        <v>206</v>
      </c>
      <c r="H89" s="27"/>
      <c r="I89" s="27"/>
    </row>
    <row r="90" spans="1:9" ht="15">
      <c r="A90" s="58"/>
      <c r="B90" s="2" t="s">
        <v>207</v>
      </c>
      <c r="H90" s="27"/>
      <c r="I90" s="27"/>
    </row>
    <row r="91" spans="1:9" ht="15">
      <c r="A91" s="58"/>
      <c r="B91" s="2" t="s">
        <v>331</v>
      </c>
      <c r="H91" s="27"/>
      <c r="I91" s="27"/>
    </row>
    <row r="92" spans="1:9" ht="15">
      <c r="A92" s="58"/>
      <c r="B92" s="2" t="s">
        <v>208</v>
      </c>
      <c r="H92" s="27"/>
      <c r="I92" s="27"/>
    </row>
    <row r="93" spans="1:9" ht="15">
      <c r="A93" s="58"/>
      <c r="B93" s="2" t="s">
        <v>127</v>
      </c>
      <c r="H93" s="27"/>
      <c r="I93" s="27"/>
    </row>
    <row r="94" spans="1:9" ht="15">
      <c r="A94" s="58"/>
      <c r="H94" s="27"/>
      <c r="I94" s="27"/>
    </row>
    <row r="95" spans="2:9" ht="15">
      <c r="B95" s="2" t="s">
        <v>128</v>
      </c>
      <c r="H95" s="27"/>
      <c r="I95" s="27"/>
    </row>
    <row r="96" spans="1:9" ht="15">
      <c r="A96" s="58"/>
      <c r="B96" s="2" t="s">
        <v>224</v>
      </c>
      <c r="H96" s="27"/>
      <c r="I96" s="27"/>
    </row>
    <row r="97" spans="1:9" ht="15">
      <c r="A97" s="58"/>
      <c r="B97" s="2" t="s">
        <v>223</v>
      </c>
      <c r="H97" s="27"/>
      <c r="I97" s="27"/>
    </row>
    <row r="98" spans="1:9" ht="15">
      <c r="A98" s="58"/>
      <c r="B98" s="2" t="s">
        <v>228</v>
      </c>
      <c r="H98" s="27"/>
      <c r="I98" s="27"/>
    </row>
    <row r="99" spans="1:9" ht="15">
      <c r="A99" s="58"/>
      <c r="B99" s="2" t="s">
        <v>229</v>
      </c>
      <c r="H99" s="27"/>
      <c r="I99" s="27"/>
    </row>
    <row r="100" spans="1:9" ht="15">
      <c r="A100" s="58"/>
      <c r="B100" s="2" t="s">
        <v>230</v>
      </c>
      <c r="H100" s="27"/>
      <c r="I100" s="27"/>
    </row>
    <row r="101" spans="1:9" ht="15">
      <c r="A101" s="58"/>
      <c r="B101" s="2" t="s">
        <v>288</v>
      </c>
      <c r="H101" s="27"/>
      <c r="I101" s="27"/>
    </row>
    <row r="102" spans="1:9" ht="15">
      <c r="A102" s="58"/>
      <c r="I102" s="27"/>
    </row>
    <row r="103" spans="1:9" ht="15">
      <c r="A103" s="58"/>
      <c r="I103" s="27"/>
    </row>
    <row r="104" spans="1:9" ht="15">
      <c r="A104" s="58"/>
      <c r="I104" s="27"/>
    </row>
    <row r="105" spans="1:9" ht="15">
      <c r="A105" s="58"/>
      <c r="I105" s="27"/>
    </row>
    <row r="106" spans="1:9" ht="15">
      <c r="A106" s="58"/>
      <c r="I106" s="27"/>
    </row>
    <row r="107" spans="1:9" ht="15">
      <c r="A107" s="58"/>
      <c r="I107" s="27"/>
    </row>
    <row r="108" spans="1:9" ht="6.75" customHeight="1">
      <c r="A108" s="58"/>
      <c r="I108" s="27"/>
    </row>
    <row r="109" spans="1:9" ht="6.75" customHeight="1">
      <c r="A109" s="58"/>
      <c r="I109" s="27"/>
    </row>
    <row r="110" spans="1:9" ht="15">
      <c r="A110" s="2" t="s">
        <v>51</v>
      </c>
      <c r="B110" s="2" t="s">
        <v>218</v>
      </c>
      <c r="H110" s="27"/>
      <c r="I110" s="27"/>
    </row>
    <row r="111" spans="2:9" ht="15">
      <c r="B111" s="2" t="s">
        <v>219</v>
      </c>
      <c r="H111" s="27"/>
      <c r="I111" s="27"/>
    </row>
    <row r="112" spans="2:9" ht="15">
      <c r="B112" s="2" t="s">
        <v>220</v>
      </c>
      <c r="H112" s="27"/>
      <c r="I112" s="27"/>
    </row>
    <row r="113" spans="2:9" ht="15">
      <c r="B113" s="2" t="s">
        <v>222</v>
      </c>
      <c r="H113" s="27"/>
      <c r="I113" s="27"/>
    </row>
    <row r="114" spans="2:9" ht="15">
      <c r="B114" s="2" t="s">
        <v>237</v>
      </c>
      <c r="H114" s="27"/>
      <c r="I114" s="27"/>
    </row>
    <row r="115" spans="2:9" ht="15">
      <c r="B115" s="2" t="s">
        <v>238</v>
      </c>
      <c r="H115" s="27"/>
      <c r="I115" s="27"/>
    </row>
    <row r="116" spans="2:9" ht="15">
      <c r="B116" s="2" t="s">
        <v>402</v>
      </c>
      <c r="H116" s="27"/>
      <c r="I116" s="27"/>
    </row>
    <row r="117" spans="2:9" ht="15">
      <c r="B117" s="2" t="s">
        <v>239</v>
      </c>
      <c r="H117" s="27"/>
      <c r="I117" s="27"/>
    </row>
    <row r="118" spans="8:13" ht="15">
      <c r="H118" s="27"/>
      <c r="I118" s="27"/>
      <c r="L118" s="185"/>
      <c r="M118" s="39"/>
    </row>
    <row r="119" spans="2:13" ht="15">
      <c r="B119" s="2" t="s">
        <v>386</v>
      </c>
      <c r="H119" s="27"/>
      <c r="I119" s="27"/>
      <c r="L119" s="185"/>
      <c r="M119" s="39"/>
    </row>
    <row r="120" spans="2:13" ht="15">
      <c r="B120" s="2" t="s">
        <v>418</v>
      </c>
      <c r="F120" s="164"/>
      <c r="H120" s="164"/>
      <c r="I120" s="27"/>
      <c r="L120" s="185"/>
      <c r="M120" s="39"/>
    </row>
    <row r="121" spans="2:13" ht="15">
      <c r="B121" s="2" t="s">
        <v>387</v>
      </c>
      <c r="F121" s="164"/>
      <c r="G121" s="164"/>
      <c r="H121" s="163"/>
      <c r="I121" s="27"/>
      <c r="L121" s="185"/>
      <c r="M121" s="39"/>
    </row>
    <row r="122" spans="2:13" ht="15">
      <c r="B122" s="2" t="s">
        <v>403</v>
      </c>
      <c r="C122" s="186"/>
      <c r="D122" s="186"/>
      <c r="E122" s="154"/>
      <c r="F122" s="154"/>
      <c r="G122" s="154"/>
      <c r="H122" s="167"/>
      <c r="I122" s="167"/>
      <c r="J122" s="153"/>
      <c r="L122" s="58"/>
      <c r="M122" s="173"/>
    </row>
    <row r="123" spans="1:13" ht="15">
      <c r="A123" s="58"/>
      <c r="B123" s="2" t="s">
        <v>404</v>
      </c>
      <c r="H123" s="2"/>
      <c r="I123" s="2"/>
      <c r="J123" s="2"/>
      <c r="M123" s="39"/>
    </row>
    <row r="124" spans="1:13" ht="15">
      <c r="A124" s="58"/>
      <c r="B124" s="2" t="s">
        <v>405</v>
      </c>
      <c r="H124" s="2"/>
      <c r="I124" s="2"/>
      <c r="J124" s="2"/>
      <c r="M124" s="39"/>
    </row>
    <row r="125" spans="1:13" ht="15">
      <c r="A125" s="58"/>
      <c r="H125" s="2"/>
      <c r="I125" s="2"/>
      <c r="J125" s="2"/>
      <c r="M125" s="39"/>
    </row>
    <row r="126" spans="1:12" ht="15">
      <c r="A126" s="2" t="s">
        <v>54</v>
      </c>
      <c r="B126" s="2" t="s">
        <v>332</v>
      </c>
      <c r="E126" s="59"/>
      <c r="F126" s="59"/>
      <c r="G126" s="27"/>
      <c r="I126" s="27"/>
      <c r="J126" s="27"/>
      <c r="K126" s="69"/>
      <c r="L126" s="59"/>
    </row>
    <row r="127" spans="2:12" ht="15">
      <c r="B127" s="2" t="s">
        <v>388</v>
      </c>
      <c r="E127" s="59"/>
      <c r="F127" s="162"/>
      <c r="G127" s="163"/>
      <c r="I127" s="27"/>
      <c r="J127" s="27"/>
      <c r="K127" s="69"/>
      <c r="L127" s="59"/>
    </row>
    <row r="128" spans="2:12" ht="15">
      <c r="B128" s="2" t="s">
        <v>390</v>
      </c>
      <c r="E128" s="59"/>
      <c r="F128" s="59"/>
      <c r="G128" s="27"/>
      <c r="I128" s="163"/>
      <c r="J128" s="163"/>
      <c r="K128" s="69"/>
      <c r="L128" s="59"/>
    </row>
    <row r="129" spans="2:12" ht="15">
      <c r="B129" s="2" t="s">
        <v>389</v>
      </c>
      <c r="E129" s="59"/>
      <c r="F129" s="59"/>
      <c r="G129" s="27"/>
      <c r="I129" s="163"/>
      <c r="J129" s="163"/>
      <c r="K129" s="69"/>
      <c r="L129" s="59"/>
    </row>
    <row r="130" spans="5:12" ht="15">
      <c r="E130" s="59"/>
      <c r="F130" s="59"/>
      <c r="G130" s="27"/>
      <c r="I130" s="27"/>
      <c r="J130" s="163"/>
      <c r="K130" s="69"/>
      <c r="L130" s="59"/>
    </row>
    <row r="131" spans="1:2" ht="15">
      <c r="A131" s="2" t="s">
        <v>55</v>
      </c>
      <c r="B131" s="2" t="s">
        <v>162</v>
      </c>
    </row>
    <row r="132" ht="15">
      <c r="B132" s="2" t="s">
        <v>163</v>
      </c>
    </row>
    <row r="134" spans="1:2" ht="15">
      <c r="A134" s="2" t="s">
        <v>56</v>
      </c>
      <c r="B134" s="2" t="s">
        <v>161</v>
      </c>
    </row>
    <row r="135" ht="15">
      <c r="B135" s="2" t="s">
        <v>28</v>
      </c>
    </row>
    <row r="137" spans="1:7" ht="15">
      <c r="A137" s="2" t="s">
        <v>57</v>
      </c>
      <c r="B137" s="2" t="s">
        <v>411</v>
      </c>
      <c r="G137" s="164"/>
    </row>
    <row r="138" spans="2:10" ht="15">
      <c r="B138" s="2" t="s">
        <v>416</v>
      </c>
      <c r="J138" s="28"/>
    </row>
    <row r="139" ht="15">
      <c r="J139" s="28"/>
    </row>
    <row r="140" spans="2:6" ht="15">
      <c r="B140" s="170" t="s">
        <v>333</v>
      </c>
      <c r="F140" s="164"/>
    </row>
    <row r="141" spans="2:6" ht="15">
      <c r="B141" s="170" t="s">
        <v>334</v>
      </c>
      <c r="F141" s="164"/>
    </row>
    <row r="142" ht="15">
      <c r="B142" s="170" t="s">
        <v>318</v>
      </c>
    </row>
    <row r="143" spans="2:8" ht="15">
      <c r="B143" s="2" t="s">
        <v>412</v>
      </c>
      <c r="E143" s="164"/>
      <c r="H143" s="28"/>
    </row>
    <row r="144" spans="2:3" ht="15">
      <c r="B144" s="2" t="s">
        <v>391</v>
      </c>
      <c r="C144" s="164"/>
    </row>
    <row r="145" ht="15" customHeight="1"/>
    <row r="146" spans="2:12" ht="15" customHeight="1">
      <c r="B146" s="55" t="s">
        <v>319</v>
      </c>
      <c r="C146" s="39"/>
      <c r="D146" s="39"/>
      <c r="L146" s="58"/>
    </row>
    <row r="147" spans="2:12" ht="15" customHeight="1">
      <c r="B147" s="55" t="s">
        <v>419</v>
      </c>
      <c r="C147" s="39"/>
      <c r="D147" s="39"/>
      <c r="E147" s="164"/>
      <c r="L147" s="58"/>
    </row>
    <row r="148" spans="2:6" ht="15" customHeight="1">
      <c r="B148" s="2" t="s">
        <v>420</v>
      </c>
      <c r="F148" s="164"/>
    </row>
    <row r="149" spans="2:8" ht="15" customHeight="1">
      <c r="B149" s="2" t="s">
        <v>421</v>
      </c>
      <c r="H149" s="28"/>
    </row>
    <row r="150" ht="15" customHeight="1">
      <c r="B150" s="164" t="s">
        <v>413</v>
      </c>
    </row>
    <row r="151" ht="15" customHeight="1"/>
    <row r="152" ht="15" customHeight="1">
      <c r="B152" s="2" t="s">
        <v>335</v>
      </c>
    </row>
    <row r="153" spans="2:3" ht="15">
      <c r="B153" s="2" t="s">
        <v>414</v>
      </c>
      <c r="C153" s="164"/>
    </row>
    <row r="154" spans="2:9" ht="15">
      <c r="B154" s="2" t="s">
        <v>283</v>
      </c>
      <c r="C154" s="2" t="s">
        <v>415</v>
      </c>
      <c r="I154" s="28"/>
    </row>
    <row r="155" ht="15">
      <c r="C155" s="2" t="s">
        <v>284</v>
      </c>
    </row>
    <row r="156" ht="7.5" customHeight="1"/>
    <row r="157" spans="2:3" ht="15">
      <c r="B157" s="2" t="s">
        <v>285</v>
      </c>
      <c r="C157" s="2" t="s">
        <v>410</v>
      </c>
    </row>
    <row r="159" ht="15" customHeight="1"/>
    <row r="160" ht="8.25" customHeight="1"/>
    <row r="161" spans="1:2" ht="15">
      <c r="A161" s="2" t="s">
        <v>58</v>
      </c>
      <c r="B161" s="2" t="s">
        <v>251</v>
      </c>
    </row>
    <row r="162" spans="9:11" ht="5.25" customHeight="1">
      <c r="I162" s="139"/>
      <c r="J162" s="140"/>
      <c r="K162" s="81"/>
    </row>
    <row r="163" spans="7:11" ht="15" customHeight="1">
      <c r="G163" s="205" t="s">
        <v>152</v>
      </c>
      <c r="H163" s="205"/>
      <c r="I163" s="205"/>
      <c r="J163" s="205"/>
      <c r="K163" s="81"/>
    </row>
    <row r="164" spans="7:11" ht="15" customHeight="1">
      <c r="G164" s="192" t="s">
        <v>130</v>
      </c>
      <c r="H164" s="192"/>
      <c r="I164" s="192" t="s">
        <v>132</v>
      </c>
      <c r="J164" s="192"/>
      <c r="K164" s="81"/>
    </row>
    <row r="165" spans="7:11" ht="15" customHeight="1">
      <c r="G165" s="192" t="s">
        <v>129</v>
      </c>
      <c r="H165" s="192"/>
      <c r="I165" s="192" t="s">
        <v>131</v>
      </c>
      <c r="J165" s="192"/>
      <c r="K165" s="81"/>
    </row>
    <row r="166" spans="7:11" ht="15" customHeight="1">
      <c r="G166" s="27" t="str">
        <f>+PL!F10</f>
        <v>31-1-2005</v>
      </c>
      <c r="H166" s="27" t="str">
        <f>+PL!G10</f>
        <v>31-1-2004</v>
      </c>
      <c r="I166" s="27" t="str">
        <f>+G166</f>
        <v>31-1-2005</v>
      </c>
      <c r="J166" s="27" t="str">
        <f>+H166</f>
        <v>31-1-2004</v>
      </c>
      <c r="K166" s="81"/>
    </row>
    <row r="167" spans="2:11" ht="15" customHeight="1">
      <c r="B167" s="2" t="s">
        <v>308</v>
      </c>
      <c r="G167" s="166">
        <f>+PL!F29</f>
        <v>93130</v>
      </c>
      <c r="H167" s="82">
        <f>+PL!G29</f>
        <v>80855</v>
      </c>
      <c r="K167" s="81"/>
    </row>
    <row r="168" spans="2:11" ht="15" customHeight="1">
      <c r="B168" s="2" t="s">
        <v>142</v>
      </c>
      <c r="G168" s="65"/>
      <c r="H168" s="82"/>
      <c r="K168" s="81"/>
    </row>
    <row r="169" spans="2:11" ht="15" customHeight="1">
      <c r="B169" s="2" t="s">
        <v>143</v>
      </c>
      <c r="G169" s="65">
        <v>6749</v>
      </c>
      <c r="H169" s="82">
        <v>8751</v>
      </c>
      <c r="K169" s="81"/>
    </row>
    <row r="170" spans="2:11" ht="15" customHeight="1" thickBot="1">
      <c r="B170" s="2" t="s">
        <v>144</v>
      </c>
      <c r="G170" s="80">
        <f>+G167+G169</f>
        <v>99879</v>
      </c>
      <c r="H170" s="112">
        <f>+H167+H169</f>
        <v>89606</v>
      </c>
      <c r="K170" s="81"/>
    </row>
    <row r="171" spans="2:11" ht="15" customHeight="1" thickBot="1" thickTop="1">
      <c r="B171" s="2" t="s">
        <v>133</v>
      </c>
      <c r="G171" s="39"/>
      <c r="H171" s="73"/>
      <c r="I171" s="136">
        <f>+G167/G174*100</f>
        <v>9.621205703506115</v>
      </c>
      <c r="J171" s="134">
        <f>+H167/H174*100</f>
        <v>9.446990878404824</v>
      </c>
      <c r="K171" s="81"/>
    </row>
    <row r="172" spans="9:11" ht="15" customHeight="1" thickTop="1">
      <c r="I172" s="139"/>
      <c r="J172" s="140"/>
      <c r="K172" s="81"/>
    </row>
    <row r="173" spans="2:11" ht="15" customHeight="1">
      <c r="B173" s="2" t="s">
        <v>139</v>
      </c>
      <c r="G173" s="39"/>
      <c r="H173" s="73"/>
      <c r="I173" s="27"/>
      <c r="J173" s="27"/>
      <c r="K173" s="81"/>
    </row>
    <row r="174" spans="2:11" ht="15" customHeight="1">
      <c r="B174" s="2" t="s">
        <v>140</v>
      </c>
      <c r="G174" s="39">
        <v>967966</v>
      </c>
      <c r="H174" s="73">
        <v>855881</v>
      </c>
      <c r="I174" s="27"/>
      <c r="J174" s="27"/>
      <c r="K174" s="81"/>
    </row>
    <row r="175" spans="3:11" ht="15" customHeight="1">
      <c r="C175" s="2" t="s">
        <v>134</v>
      </c>
      <c r="G175" s="39">
        <v>0</v>
      </c>
      <c r="H175" s="73">
        <v>2228</v>
      </c>
      <c r="I175" s="27"/>
      <c r="J175" s="27"/>
      <c r="K175" s="81"/>
    </row>
    <row r="176" spans="3:11" ht="15" customHeight="1">
      <c r="C176" s="2" t="s">
        <v>137</v>
      </c>
      <c r="G176" s="39"/>
      <c r="H176" s="73"/>
      <c r="I176" s="27"/>
      <c r="J176" s="2"/>
      <c r="K176" s="81"/>
    </row>
    <row r="177" spans="3:11" ht="15" customHeight="1">
      <c r="C177" s="2" t="s">
        <v>136</v>
      </c>
      <c r="G177" s="39">
        <v>0</v>
      </c>
      <c r="H177" s="73">
        <v>-1562</v>
      </c>
      <c r="I177" s="27"/>
      <c r="J177" s="2"/>
      <c r="K177" s="81"/>
    </row>
    <row r="178" spans="3:11" ht="15" customHeight="1">
      <c r="C178" s="2" t="s">
        <v>145</v>
      </c>
      <c r="G178" s="183">
        <v>311364</v>
      </c>
      <c r="H178" s="133">
        <v>399320</v>
      </c>
      <c r="I178" s="81"/>
      <c r="K178" s="81"/>
    </row>
    <row r="179" spans="2:11" ht="15" customHeight="1">
      <c r="B179" s="2" t="s">
        <v>135</v>
      </c>
      <c r="G179" s="65"/>
      <c r="H179" s="82"/>
      <c r="I179" s="81"/>
      <c r="K179" s="81"/>
    </row>
    <row r="180" spans="2:11" ht="15" customHeight="1" thickBot="1">
      <c r="B180" s="2" t="s">
        <v>141</v>
      </c>
      <c r="G180" s="79">
        <f>SUM(G174:G178)</f>
        <v>1279330</v>
      </c>
      <c r="H180" s="79">
        <f>SUM(H174:H178)</f>
        <v>1255867</v>
      </c>
      <c r="I180" s="81"/>
      <c r="K180" s="81"/>
    </row>
    <row r="181" spans="2:11" ht="15" customHeight="1" thickBot="1" thickTop="1">
      <c r="B181" s="2" t="s">
        <v>138</v>
      </c>
      <c r="I181" s="137">
        <f>+G170/G180*100</f>
        <v>7.807133421400264</v>
      </c>
      <c r="J181" s="135">
        <f>+H170/H180*100</f>
        <v>7.134991205278903</v>
      </c>
      <c r="K181" s="81"/>
    </row>
    <row r="182" spans="9:11" ht="15" customHeight="1" thickTop="1">
      <c r="I182" s="139"/>
      <c r="J182" s="140"/>
      <c r="K182" s="81"/>
    </row>
    <row r="183" spans="9:11" ht="15" customHeight="1">
      <c r="I183" s="139"/>
      <c r="J183" s="140"/>
      <c r="K183" s="81"/>
    </row>
    <row r="184" spans="7:10" ht="15">
      <c r="G184" s="205" t="s">
        <v>336</v>
      </c>
      <c r="H184" s="205"/>
      <c r="I184" s="205"/>
      <c r="J184" s="205"/>
    </row>
    <row r="185" spans="7:10" ht="15">
      <c r="G185" s="192" t="s">
        <v>130</v>
      </c>
      <c r="H185" s="192"/>
      <c r="I185" s="192" t="s">
        <v>132</v>
      </c>
      <c r="J185" s="192"/>
    </row>
    <row r="186" spans="7:10" ht="15">
      <c r="G186" s="192" t="s">
        <v>129</v>
      </c>
      <c r="H186" s="192"/>
      <c r="I186" s="192" t="s">
        <v>131</v>
      </c>
      <c r="J186" s="192"/>
    </row>
    <row r="187" spans="7:10" ht="15">
      <c r="G187" s="27" t="str">
        <f>+PL!H10</f>
        <v>31-1-2005</v>
      </c>
      <c r="H187" s="27" t="str">
        <f>+PL!I10</f>
        <v>31-1-2004</v>
      </c>
      <c r="I187" s="27" t="str">
        <f>+G187</f>
        <v>31-1-2005</v>
      </c>
      <c r="J187" s="27" t="str">
        <f>+H187</f>
        <v>31-1-2004</v>
      </c>
    </row>
    <row r="188" spans="2:8" ht="15">
      <c r="B188" s="2" t="s">
        <v>308</v>
      </c>
      <c r="G188" s="166">
        <f>+PL!H29</f>
        <v>255711</v>
      </c>
      <c r="H188" s="82">
        <f>+PL!I29</f>
        <v>229498</v>
      </c>
    </row>
    <row r="189" spans="2:8" ht="15">
      <c r="B189" s="2" t="s">
        <v>142</v>
      </c>
      <c r="G189" s="65"/>
      <c r="H189" s="82"/>
    </row>
    <row r="190" spans="2:8" ht="15">
      <c r="B190" s="2" t="s">
        <v>143</v>
      </c>
      <c r="G190" s="65">
        <v>20248</v>
      </c>
      <c r="H190" s="82">
        <v>26254</v>
      </c>
    </row>
    <row r="191" spans="2:8" ht="15.75" thickBot="1">
      <c r="B191" s="2" t="s">
        <v>144</v>
      </c>
      <c r="G191" s="80">
        <f>+G188+G190</f>
        <v>275959</v>
      </c>
      <c r="H191" s="112">
        <f>+H188+H190</f>
        <v>255752</v>
      </c>
    </row>
    <row r="192" spans="2:10" ht="16.5" thickBot="1" thickTop="1">
      <c r="B192" s="2" t="s">
        <v>133</v>
      </c>
      <c r="G192" s="39"/>
      <c r="H192" s="73"/>
      <c r="I192" s="136">
        <f>+G188/G195*100</f>
        <v>26.045731362621044</v>
      </c>
      <c r="J192" s="134">
        <f>+H188/H195*100</f>
        <v>28.18810905884058</v>
      </c>
    </row>
    <row r="193" spans="7:8" ht="15.75" thickTop="1">
      <c r="G193" s="39"/>
      <c r="H193" s="73"/>
    </row>
    <row r="194" spans="2:11" ht="15">
      <c r="B194" s="2" t="s">
        <v>139</v>
      </c>
      <c r="G194" s="39"/>
      <c r="H194" s="73"/>
      <c r="I194" s="27"/>
      <c r="J194" s="27"/>
      <c r="K194" s="27"/>
    </row>
    <row r="195" spans="2:11" ht="15">
      <c r="B195" s="2" t="s">
        <v>140</v>
      </c>
      <c r="G195" s="39">
        <v>981777</v>
      </c>
      <c r="H195" s="73">
        <v>814166</v>
      </c>
      <c r="I195" s="27"/>
      <c r="J195" s="27"/>
      <c r="K195" s="27"/>
    </row>
    <row r="196" spans="3:11" ht="15">
      <c r="C196" s="2" t="s">
        <v>134</v>
      </c>
      <c r="G196" s="39">
        <v>0</v>
      </c>
      <c r="H196" s="73">
        <v>2228</v>
      </c>
      <c r="I196" s="27"/>
      <c r="J196" s="27"/>
      <c r="K196" s="27"/>
    </row>
    <row r="197" spans="3:11" ht="15">
      <c r="C197" s="2" t="s">
        <v>137</v>
      </c>
      <c r="G197" s="39"/>
      <c r="H197" s="73"/>
      <c r="I197" s="27"/>
      <c r="J197" s="2"/>
      <c r="K197" s="27"/>
    </row>
    <row r="198" spans="3:11" ht="15">
      <c r="C198" s="2" t="s">
        <v>136</v>
      </c>
      <c r="G198" s="39">
        <v>0</v>
      </c>
      <c r="H198" s="73">
        <v>-1562</v>
      </c>
      <c r="I198" s="27"/>
      <c r="J198" s="2"/>
      <c r="K198" s="27"/>
    </row>
    <row r="199" spans="3:11" ht="15">
      <c r="C199" s="2" t="s">
        <v>145</v>
      </c>
      <c r="G199" s="44">
        <v>311364</v>
      </c>
      <c r="H199" s="133">
        <v>403716</v>
      </c>
      <c r="I199" s="81"/>
      <c r="K199" s="81"/>
    </row>
    <row r="200" spans="2:11" ht="15">
      <c r="B200" s="2" t="s">
        <v>135</v>
      </c>
      <c r="G200" s="65"/>
      <c r="H200" s="82"/>
      <c r="I200" s="81"/>
      <c r="K200" s="81"/>
    </row>
    <row r="201" spans="2:11" ht="15.75" thickBot="1">
      <c r="B201" s="2" t="s">
        <v>141</v>
      </c>
      <c r="G201" s="79">
        <f>SUM(G195:G199)</f>
        <v>1293141</v>
      </c>
      <c r="H201" s="79">
        <f>SUM(H195:H199)</f>
        <v>1218548</v>
      </c>
      <c r="I201" s="81"/>
      <c r="K201" s="81"/>
    </row>
    <row r="202" spans="2:11" ht="16.5" thickBot="1" thickTop="1">
      <c r="B202" s="2" t="s">
        <v>138</v>
      </c>
      <c r="I202" s="137">
        <f>+G191/G201*100</f>
        <v>21.340209613646152</v>
      </c>
      <c r="J202" s="135">
        <f>+H191/H201*100</f>
        <v>20.9882581564288</v>
      </c>
      <c r="K202" s="81"/>
    </row>
    <row r="203" spans="9:11" ht="15.75" thickTop="1">
      <c r="I203" s="139"/>
      <c r="J203" s="140"/>
      <c r="K203" s="81"/>
    </row>
    <row r="204" spans="9:11" ht="15">
      <c r="I204" s="139"/>
      <c r="J204" s="140"/>
      <c r="K204" s="81"/>
    </row>
    <row r="205" spans="9:11" ht="15">
      <c r="I205" s="139"/>
      <c r="J205" s="140"/>
      <c r="K205" s="81"/>
    </row>
    <row r="206" spans="9:11" ht="15">
      <c r="I206" s="139"/>
      <c r="J206" s="140"/>
      <c r="K206" s="81"/>
    </row>
    <row r="207" spans="1:11" ht="24" customHeight="1">
      <c r="A207" s="2" t="s">
        <v>73</v>
      </c>
      <c r="B207" s="2" t="s">
        <v>74</v>
      </c>
      <c r="I207" s="81"/>
      <c r="K207" s="81"/>
    </row>
    <row r="221" ht="15">
      <c r="J221" s="27"/>
    </row>
  </sheetData>
  <mergeCells count="10">
    <mergeCell ref="G184:J184"/>
    <mergeCell ref="G185:H185"/>
    <mergeCell ref="I185:J185"/>
    <mergeCell ref="G186:H186"/>
    <mergeCell ref="I186:J186"/>
    <mergeCell ref="G163:J163"/>
    <mergeCell ref="G164:H164"/>
    <mergeCell ref="I164:J164"/>
    <mergeCell ref="G165:H165"/>
    <mergeCell ref="I165:J165"/>
  </mergeCells>
  <printOptions/>
  <pageMargins left="0.75" right="0.49" top="0.86" bottom="0.81" header="0.5" footer="0.5"/>
  <pageSetup firstPageNumber="8" useFirstPageNumber="1" horizontalDpi="600" verticalDpi="600" orientation="portrait" paperSize="9" scale="97" r:id="rId1"/>
  <headerFooter alignWithMargins="0">
    <oddHeader>&amp;R&amp;"Arial,Bold"Berjaya Sports Toto Berhad&amp;U
&amp;9&amp;U(&amp;"Arial,Regular"Company No. 9109-K)
Quarterly Report 31-1-2005</oddHeader>
    <oddFooter>&amp;R&amp;"Arial,Bold"   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Berjaya Group Berhad</cp:lastModifiedBy>
  <cp:lastPrinted>2005-03-07T09:22:34Z</cp:lastPrinted>
  <dcterms:created xsi:type="dcterms:W3CDTF">1996-10-14T23:33:28Z</dcterms:created>
  <dcterms:modified xsi:type="dcterms:W3CDTF">2004-06-12T08:36:08Z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