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'BS'!$A$1:$I$67</definedName>
    <definedName name="_xlnm.Print_Area" localSheetId="4">'CF'!$A$1:$J$61</definedName>
    <definedName name="_xlnm.Print_Area" localSheetId="5">'Notes'!$A$1:$P$191</definedName>
    <definedName name="_xlnm.Print_Area" localSheetId="6">'Notes (2)'!$A$1:$K$210</definedName>
    <definedName name="_xlnm.Print_Area" localSheetId="0">'PL'!$A$1:$I$54</definedName>
    <definedName name="_xlnm.Print_Area" localSheetId="3">'SICE'!$A$1:$K$57</definedName>
  </definedNames>
  <calcPr fullCalcOnLoad="1"/>
</workbook>
</file>

<file path=xl/sharedStrings.xml><?xml version="1.0" encoding="utf-8"?>
<sst xmlns="http://schemas.openxmlformats.org/spreadsheetml/2006/main" count="536" uniqueCount="450">
  <si>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</si>
  <si>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</si>
  <si>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</si>
  <si>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</si>
  <si>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</si>
  <si>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</si>
  <si>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</si>
  <si>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 -Basic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</si>
  <si>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</si>
  <si>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</si>
  <si>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</si>
  <si>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</si>
  <si>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</si>
  <si>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</si>
  <si>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</si>
  <si>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</si>
  <si>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</si>
  <si>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</si>
  <si>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</si>
  <si>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</si>
  <si>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</si>
  <si>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</si>
  <si>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NOTES TO THE INTERIM FINANCIAL REPORT</t>
  </si>
  <si>
    <t>Group</t>
  </si>
  <si>
    <t>Property, plant and equipment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</si>
  <si>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</si>
  <si>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</si>
  <si>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</si>
  <si>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</si>
  <si>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</si>
  <si>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</si>
  <si>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</si>
  <si>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</si>
  <si>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</si>
  <si>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</si>
  <si>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</si>
  <si>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</si>
  <si>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</si>
  <si>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</si>
  <si>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</si>
  <si>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</si>
  <si>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</si>
  <si>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</si>
  <si>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</si>
  <si>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</si>
  <si>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</si>
  <si>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</si>
  <si>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</si>
  <si>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</si>
  <si>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</si>
  <si>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</si>
  <si>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</si>
  <si>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</si>
  <si>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</si>
  <si>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</si>
  <si>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</si>
  <si>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</si>
  <si>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</si>
  <si>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</si>
  <si>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</si>
  <si>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</si>
  <si>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</si>
  <si>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</si>
  <si>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</si>
  <si>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</si>
  <si>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</si>
  <si>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</si>
  <si>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</si>
  <si>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</si>
  <si>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</si>
  <si>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</si>
  <si>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</si>
  <si>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</si>
  <si>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</si>
  <si>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</si>
  <si>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</si>
  <si>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</si>
  <si>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</si>
  <si>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</si>
  <si>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</si>
  <si>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</si>
  <si>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Interim Financial Report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</si>
  <si>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</si>
  <si>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</si>
  <si>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</si>
  <si>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</si>
  <si>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</si>
  <si>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</si>
  <si>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</si>
  <si>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</si>
  <si>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</si>
  <si>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</si>
  <si>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</si>
  <si>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</si>
  <si>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</si>
  <si>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</si>
  <si>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</si>
  <si>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</si>
  <si>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</si>
  <si>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</si>
  <si>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</si>
  <si>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</si>
  <si>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</si>
  <si>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Other intangible asset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</si>
  <si>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</si>
  <si>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</si>
  <si>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</si>
  <si>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</si>
  <si>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</si>
  <si>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</si>
  <si>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</si>
  <si>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</si>
  <si>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</si>
  <si>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</si>
  <si>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</si>
  <si>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</si>
  <si>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</si>
  <si>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</si>
  <si>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</si>
  <si>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</si>
  <si>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</si>
  <si>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</si>
  <si>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</si>
  <si>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</si>
  <si>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</si>
  <si>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</si>
  <si>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</si>
  <si>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Reduction due to repayment of loan</t>
  </si>
  <si>
    <t>A guarantee fee is receivable by the Company.</t>
  </si>
  <si>
    <t>-   Foreign countries taxation</t>
  </si>
  <si>
    <t>The particulars of the acquisition and disposal of quoted investments by the Group were as follows :</t>
  </si>
  <si>
    <t>announcement.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</si>
  <si>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</si>
  <si>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</si>
  <si>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</si>
  <si>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</si>
  <si>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</si>
  <si>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</si>
  <si>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</si>
  <si>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</si>
  <si>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</si>
  <si>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</si>
  <si>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</si>
  <si>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</si>
  <si>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</si>
  <si>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</si>
  <si>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</si>
  <si>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</si>
  <si>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</si>
  <si>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</si>
  <si>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</si>
  <si>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</si>
  <si>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</si>
  <si>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</si>
  <si>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</si>
  <si>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</si>
  <si>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</si>
  <si>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The annexed notes form an integral part of this interim financial report.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</si>
  <si>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</si>
  <si>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</si>
  <si>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</si>
  <si>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</si>
  <si>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</si>
  <si>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</si>
  <si>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</si>
  <si>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</si>
  <si>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>nominal value of ICULS plus RM0.20 in cash for every one fully paid ordinary share.  A total of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</si>
  <si>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</si>
  <si>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</si>
  <si>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</si>
  <si>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</si>
  <si>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Other receipts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</si>
  <si>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</si>
  <si>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</si>
  <si>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</si>
  <si>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</si>
  <si>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</si>
  <si>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</si>
  <si>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</si>
  <si>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Acquisition of other investments, including ICULS bought back</t>
  </si>
  <si>
    <t>Dividends paid</t>
  </si>
  <si>
    <t>Inter-company receipt</t>
  </si>
  <si>
    <t>Other receipt from investing activities</t>
  </si>
  <si>
    <t>30-4-2003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</si>
  <si>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</si>
  <si>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</si>
  <si>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</si>
  <si>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</si>
  <si>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</si>
  <si>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</si>
  <si>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</si>
  <si>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</si>
  <si>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 xml:space="preserve">NET EQUITY FUNDS </t>
  </si>
  <si>
    <t>8% IRREDEEMABLE CONVERTIBLE UNSECURED LOAN</t>
  </si>
  <si>
    <t>CAPITAL FUNDS</t>
  </si>
  <si>
    <t>royalties and other operating expenses</t>
  </si>
  <si>
    <t xml:space="preserve">Payments to prize winners, suppliers, duties, taxes, </t>
  </si>
  <si>
    <t>ICULS interest paid</t>
  </si>
  <si>
    <t xml:space="preserve"> Basic  :  Net equity funds less ICULS - equity component divided by the number of outstanding shares in issue with voting rights.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</si>
  <si>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</si>
  <si>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</si>
  <si>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>component</t>
  </si>
  <si>
    <t>ICULS-equity</t>
  </si>
  <si>
    <t>ICULS - equity component</t>
  </si>
  <si>
    <t>PROVISIONS</t>
  </si>
  <si>
    <t>Trade and other payables</t>
  </si>
  <si>
    <t>Trade and other receivables</t>
  </si>
  <si>
    <t>statements for the year ended 30 April 2003 have been applied in the preparation of the quarterly</t>
  </si>
  <si>
    <t>annual report as no revaluation has been carried out since 30 April 2003.</t>
  </si>
  <si>
    <t xml:space="preserve">The changes in contingent liabilities since the last audited balance sheet date as at 30 April 2003 </t>
  </si>
  <si>
    <t>Balance as at 1 May 2003</t>
  </si>
  <si>
    <t>July 2003</t>
  </si>
  <si>
    <t>Increase in treasury shares for the period</t>
  </si>
  <si>
    <t>disallowed for taxation purposes.</t>
  </si>
  <si>
    <t>(ICULS conversion to shares)</t>
  </si>
  <si>
    <t>Company for the year ended 30 April 2003.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</si>
  <si>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</si>
  <si>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</si>
  <si>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</si>
  <si>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</si>
  <si>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ICULS bought back by a subsidiary company</t>
  </si>
  <si>
    <t>ICULS extinguished in previous year</t>
  </si>
  <si>
    <t>ICULS - liability component classified under other payables</t>
  </si>
  <si>
    <t>The status of conditions imposed by the Securities Commission pertaining to the issuance of ICULS</t>
  </si>
  <si>
    <t>Group level are as follows :</t>
  </si>
  <si>
    <t>Non-current</t>
  </si>
  <si>
    <t xml:space="preserve">    the following balance sheet amounts   :</t>
  </si>
  <si>
    <t>Distribution of special dividend</t>
  </si>
  <si>
    <t>Issue of ICULS</t>
  </si>
  <si>
    <t>There were no changes in estimates reported in the prior interim periods of the current financial</t>
  </si>
  <si>
    <t>year or prior financial year that had a material effect in the current quarter.</t>
  </si>
  <si>
    <t>August 2003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</si>
  <si>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</si>
  <si>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</si>
  <si>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</si>
  <si>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NON-CURRENT ASSETS</t>
  </si>
  <si>
    <t>The net tangible assets per share is calculated based on the following :</t>
  </si>
  <si>
    <t>The net assets per share is calculated based on the following :</t>
  </si>
  <si>
    <t>Amount due from related parties</t>
  </si>
  <si>
    <t>Amount due to related parties</t>
  </si>
  <si>
    <t xml:space="preserve">profits / (losses) on sale of properties and there were no profits / (losses) on sale of unquoted investments </t>
  </si>
  <si>
    <t>Acquisition of associated company</t>
  </si>
  <si>
    <t>Reserves</t>
  </si>
  <si>
    <t>Repayment to related parties</t>
  </si>
  <si>
    <t xml:space="preserve">                 conversion to shares of ICULS in issue.</t>
  </si>
  <si>
    <t xml:space="preserve"> Dilutive  :  Net equity funds divided by the aggregate number of outstanding shares in issue with voting rights and potential </t>
  </si>
  <si>
    <t xml:space="preserve">                 outstanding shares in issue with voting rights and potential conversion to shares of ICULS in issue.</t>
  </si>
  <si>
    <t xml:space="preserve"> Dilutive  :  Net equity funds less goodwill on consolidation and other intangible asset divided by the aggregate number of </t>
  </si>
  <si>
    <t>Purchase of treasury shares by a subsidiary company</t>
  </si>
  <si>
    <t xml:space="preserve">pursuant to the Employees' Share Option Scheme ("ESOS").  There were no additional shares </t>
  </si>
  <si>
    <t>are being held as treasury shares with none of the shares being cancelled or resold during the</t>
  </si>
  <si>
    <t>the rate of RM1.20 nominal value of ICULS for every one fully paid ordinary share.</t>
  </si>
  <si>
    <t xml:space="preserve">On 16 June 2003, the Company paid the second interim dividend in respect of the financial </t>
  </si>
  <si>
    <t>year ended 30 April 2003, of 5 sen per share on 725,123,295 ordinary shares with voting rights,</t>
  </si>
  <si>
    <t>On 8 December 2003, the Company paid the final dividend in respect of the financial year ended</t>
  </si>
  <si>
    <t xml:space="preserve">Balance as at 1 May 2003 </t>
  </si>
  <si>
    <t>Reduction due to redemption of the Notes</t>
  </si>
  <si>
    <t xml:space="preserve">Guarantee given to Noteholders for Secured </t>
  </si>
  <si>
    <t>Guarantee given to a financial institution for facility granted to a related party :</t>
  </si>
  <si>
    <t>30 April 2003, of 28 sen per share on 774,904,406 ordinary shares with voting rights, less income</t>
  </si>
  <si>
    <t xml:space="preserve">  Floating Rate Notes issued by a related party :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</si>
  <si>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</si>
  <si>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</si>
  <si>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</si>
  <si>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Based on the results for the period:-</t>
  </si>
  <si>
    <t>Net cash generated from investing activities</t>
  </si>
  <si>
    <t xml:space="preserve">As the Company has no immediate plans to redeploy such funds, the Board would propose to 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</si>
  <si>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</si>
  <si>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</si>
  <si>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in accordance with the terms of the Undertaking Letter upon BLB's repayment of RM100 million cash in</t>
  </si>
  <si>
    <t>30-4-2004</t>
  </si>
  <si>
    <t>- First interim</t>
  </si>
  <si>
    <t>- Second interim</t>
  </si>
  <si>
    <t>- Final</t>
  </si>
  <si>
    <t xml:space="preserve">- Special </t>
  </si>
  <si>
    <t>Prior year adjustment *</t>
  </si>
  <si>
    <t>Distribution of dividends</t>
  </si>
  <si>
    <t>At 1 May 2002</t>
  </si>
  <si>
    <t>At 1 May 2002 (restated)</t>
  </si>
  <si>
    <t xml:space="preserve">At 1 May 2003 </t>
  </si>
  <si>
    <t>*</t>
  </si>
  <si>
    <t>non-recognition of final dividend, for financial year ended 2001, proposed after balance sheet date in</t>
  </si>
  <si>
    <t>compliance with the provisions of MASB 19 - Events After the Balance Sheet Date.</t>
  </si>
  <si>
    <t>The prior year adjustment was in respect of comparative figure being restated to reflect the impact of</t>
  </si>
  <si>
    <t>12-month ended</t>
  </si>
  <si>
    <t>12 months ended</t>
  </si>
  <si>
    <t>Drawdown of bank borrowings</t>
  </si>
  <si>
    <t>There was no provision of profit forecast in a public document and no provision of profit guarantee</t>
  </si>
  <si>
    <t>by the Group during the year under review.</t>
  </si>
  <si>
    <t>Financial year</t>
  </si>
  <si>
    <t>ended 30 April 2004</t>
  </si>
  <si>
    <t>The effective tax rate on the Group's current quarter profit and profit for financial year ended</t>
  </si>
  <si>
    <t>30 April 2004 was higher than the statutory tax rate mainly due to certain expenses being</t>
  </si>
  <si>
    <t>for the current quarter and the financial year ended 30 April 2004.</t>
  </si>
  <si>
    <t xml:space="preserve">There were no acquisition and disposal of quoted securities during the current quarter and </t>
  </si>
  <si>
    <t>financial year ended 30 April 2004 except for the acquisition of quoted securities as follows :</t>
  </si>
  <si>
    <t>Investments in quoted securities as at 30 April 2004 were as follows :</t>
  </si>
  <si>
    <t>purchase of additional ICULS after the financial year ended 30 April 2004 up to the date of this</t>
  </si>
  <si>
    <t>Cost of purchase</t>
  </si>
  <si>
    <t>on 5 August 2002.  BLB has also given an undertaking that it will ensure that at least RM192.374 million</t>
  </si>
  <si>
    <t>ICULS, comprising 50% of the ICULS beneficially owned by the BLB group will be redeemed from the</t>
  </si>
  <si>
    <t>relevant lenders of Berjaya Group Berhad ("BGB") group of companies within 60 days after the listing</t>
  </si>
  <si>
    <t>ICULS which are free from encumbrances, after the release of RM100 million nominal value of ICULS</t>
  </si>
  <si>
    <t xml:space="preserve">January 2004 and another RM100 million cash in April 2004 to the Company to partially settle the </t>
  </si>
  <si>
    <t>inter-company balances owing by BLB group.  As at 30 April 2004, the outstanding inter-company</t>
  </si>
  <si>
    <t>balances owing by BLB group was RM916.223 million.</t>
  </si>
  <si>
    <t>The Group's bank borrowings as at 30 April 2004 consisted of secured short term borrowings by an</t>
  </si>
  <si>
    <t>The Board has declared the second interim dividend of RM0.20 per share less 28% income tax in</t>
  </si>
  <si>
    <t>Group (12-month period)</t>
  </si>
  <si>
    <t>Net profit for the year</t>
  </si>
  <si>
    <t>During the fourth quarter ended 30 April 2004, there were 1,590,160 new ordinary shares issued</t>
  </si>
  <si>
    <t>bought back from the open market during the fourth quarter.  The cumulative shares bought back</t>
  </si>
  <si>
    <t xml:space="preserve">fourth quarter ended 30 April 2004. </t>
  </si>
  <si>
    <t>During the fourth quarter ended 30 April 2004, a total of 89,779,005 new ordinary shares of RM1.00</t>
  </si>
  <si>
    <t>each were issued when RM89,779,005 ICULS were converted into shares at the rate of RM1.00</t>
  </si>
  <si>
    <t>6,176 new ordinary shares of RM1.00 each were issued via the conversion of RM7,412 ICULS at</t>
  </si>
  <si>
    <t>The cumulative shares issued under the ESOS for the financial year ended 30 April 2004 (including</t>
  </si>
  <si>
    <t xml:space="preserve">the 11,730,880 cumulative new ordinary shares issued under the ESOS up to the third quarter ended </t>
  </si>
  <si>
    <t>31 January 2004) was 13,321,040.  The unexercised ESOS in the Company lapsed on 31 March 2004.</t>
  </si>
  <si>
    <t>The cumulative new ordinary shares issued as a result of the ICULS conversion was 222,951,715.  The</t>
  </si>
  <si>
    <t>cumulative shares bought back for the financial year ended 30 April 2004 was 2,250,000.</t>
  </si>
  <si>
    <t>The number of treasury shares held in hand as at 30 April 2004 are as follows :</t>
  </si>
  <si>
    <t>Total treasury shares as at 30 April 2004</t>
  </si>
  <si>
    <t>As at 30 April 2004, the number of outstanding shares in issue and fully paid with voting rights</t>
  </si>
  <si>
    <t>was 1,000,487,561 (30 April 2003 : 766,464,806) ordinary shares of RM1.00 each.</t>
  </si>
  <si>
    <t>The outstanding ICULS at Company level as at 30 April 2004 are as follows :</t>
  </si>
  <si>
    <t>During the financial year ended 30 April 2004, the Company had paid the following dividends :</t>
  </si>
  <si>
    <t>On 23 February 2004, the Company paid the first interim dividend in respect of the financial year</t>
  </si>
  <si>
    <t>ended 30 April 2004, of 8 sen per share on 855,421,270 ordinary shares with voting rights, less</t>
  </si>
  <si>
    <t>Subsequent to the financial year ended 30 April 2004, the Company paid the second interim dividend</t>
  </si>
  <si>
    <t xml:space="preserve">on 31 May 2004, in respect of the financial year ended 30 April 2004, of 20 sen per share on </t>
  </si>
  <si>
    <t>Segmental revenue and results for the financial year ended 30 April 2004 were as follows :</t>
  </si>
  <si>
    <t>There were no material subsequent events for the financial  year ended 30 April 2004 up to the</t>
  </si>
  <si>
    <t xml:space="preserve">There were no changes in the composition of the Company for the current quarter and financial year </t>
  </si>
  <si>
    <t>ended 30 April 2004 including business combination, acquisition or disposal of subsidiaries and long term</t>
  </si>
  <si>
    <t>investments, restructuring and discontinuing operations except for the subscription of 3.45 million ordinary</t>
  </si>
  <si>
    <t>shares of RM1.00 each representing 30% equity interest in Astral Panorama Technologies Sdn Bhd</t>
  </si>
  <si>
    <t>("APT") by one of its wholly-owned subsidiary for a consideration of RM5.5 million in the third quarter.</t>
  </si>
  <si>
    <t xml:space="preserve">The principal activities of APT are the manufacture and marketing of a multiple-currency note </t>
  </si>
  <si>
    <t xml:space="preserve">authentication equipment for the global market catering for the various industries such as banking, </t>
  </si>
  <si>
    <t>retailing, hotels and resorts.</t>
  </si>
  <si>
    <t>Balance as at 30 April 2004</t>
  </si>
  <si>
    <t>was converted at the rate prevailing as at 30 April 2004 and this was equivalent to RM4,997,473.</t>
  </si>
  <si>
    <t>Investment related income</t>
  </si>
  <si>
    <t>Investment related expenses</t>
  </si>
  <si>
    <t>UNAUDITED QUARTERLY FINANCIAL REPORT FOR THE YEAR ENDED 30 APRIL 2004</t>
  </si>
  <si>
    <t>Prior year adjustment #</t>
  </si>
  <si>
    <t>At 1 May 2003 (restated)</t>
  </si>
  <si>
    <t>At 30 April 2004</t>
  </si>
  <si>
    <t>At 30 April 2003</t>
  </si>
  <si>
    <t>Repayment of borrowings and to hire purchase creditor</t>
  </si>
  <si>
    <t>Treasury shares acquired</t>
  </si>
  <si>
    <t>CASH &amp; CASH EQUIVALENTS AT 1 MAY 2003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</si>
  <si>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</si>
  <si>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</si>
  <si>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</si>
  <si>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liabilities, equity, net income or cash flows for the financial year ended 30 April 2004 except for that as</t>
  </si>
  <si>
    <t>The movements of the non-current ICULS during the financial year ended 30 April 2004 at</t>
  </si>
  <si>
    <t>Non-current ICULS balance as at 30 April 2004 at Group level</t>
  </si>
  <si>
    <t>Total ICULS bought back by a subsidiary company as at 30 April 2004</t>
  </si>
  <si>
    <t>Total ICULS balance as at 30 April 2004 at Company level</t>
  </si>
  <si>
    <t>Minority interests  *</t>
  </si>
  <si>
    <t>of and quotation for the Company's ICULS on the Bursa Malaysia Securities Berhad ("BMSB").</t>
  </si>
  <si>
    <t xml:space="preserve">respect of the financial year ended 30 April 2004, as announced on 30 April 2004, and was paid on </t>
  </si>
  <si>
    <t>DEFERRED TAX LIABILITIES</t>
  </si>
  <si>
    <t>#</t>
  </si>
  <si>
    <t>The prior year adjustment was in respect of comparative figure being restated to reflect the recognition of</t>
  </si>
  <si>
    <t>short term compensated absence costs in compliance with the provision of MASB 29 : Employee Benefits.</t>
  </si>
  <si>
    <t>Share of results of associated companies</t>
  </si>
  <si>
    <t xml:space="preserve">As compared to the corresponding quarter ended 30 April 2003, the Group achieved a growth in revenue </t>
  </si>
  <si>
    <t xml:space="preserve">The principal subsidiary, Sports Toto Malaysia Sdn Bhd ("Sports Toto"), achieved a commendable growth </t>
  </si>
  <si>
    <t xml:space="preserve">the lower prize payout of the 4 Digit game in the current quarter under review had contributed to the </t>
  </si>
  <si>
    <t>sharp rise in Sports Toto's pre-tax profit of 18.7% as compared to the previous corresponding quarter.</t>
  </si>
  <si>
    <t xml:space="preserve">For the year ended 30 April 2004, the Group registered a significant increase in revenue and pre-tax </t>
  </si>
  <si>
    <t xml:space="preserve">Sports Toto, the principal subsidiary, achieved an increase in revenue of 16.0% mainly attributed to the </t>
  </si>
  <si>
    <t xml:space="preserve">As compared to the preceding quarter ended 31 January 2004, the Group recorded a decrease in </t>
  </si>
  <si>
    <t xml:space="preserve">revenue and pre-tax profit of 3.8% and 18.2% respectively mainly due to the lower sales registered by </t>
  </si>
  <si>
    <t xml:space="preserve">Sports Toto recorded a decrease in revenue and pre-tax profit of 3% and 4.7% respectively mainly due </t>
  </si>
  <si>
    <t xml:space="preserve">to the current quarter having two draws less and the traditionally higher sales from the Chinese New </t>
  </si>
  <si>
    <t>Year festive season recorded in January 2004 that coincided with the preceding quarter.</t>
  </si>
  <si>
    <t xml:space="preserve">Barring unforeseen circumstances, the Directors expect that the overall consumer spending will </t>
  </si>
  <si>
    <t>ending 30 April 2005 will be good.</t>
  </si>
  <si>
    <t xml:space="preserve">continue to increase and thus anticipate that the performance of the Group for the financial year </t>
  </si>
  <si>
    <t>ADDITIONAL INFORMATION REQUIRED BY BURSA MALAYSIA LISTING REQUIREMENTS</t>
  </si>
  <si>
    <t>Additional Information Required by Bursa Malaysia Listing Requirements</t>
  </si>
  <si>
    <t>The basic and diluted earnings  / (loss) per share are calculated as follows :</t>
  </si>
  <si>
    <t xml:space="preserve">                  Earnings / (loss) per share </t>
  </si>
  <si>
    <t xml:space="preserve">                 Income </t>
  </si>
  <si>
    <t>Net profit / (loss) for the period</t>
  </si>
  <si>
    <t>Adjusted net profit / (loss) for the period</t>
  </si>
  <si>
    <t>Basic earnings  / (loss) per share</t>
  </si>
  <si>
    <t>Diluted earnings  / (loss) per share</t>
  </si>
  <si>
    <t>As at 10 June 2004, the BLB group beneficially owns a balance of RM74,161,675 nominal value of</t>
  </si>
  <si>
    <t>distribute any surplus funds to its shareholders.  Subsequently on 11 February 2004, BLB announced</t>
  </si>
  <si>
    <t>a revision to its proposal to now undertake a placement of up to 200 million ordinary shares of</t>
  </si>
  <si>
    <t>RM1.00 each and / or up to RM200 million norminal value of ICULS in the Company instead of only a</t>
  </si>
  <si>
    <t>placement of up to 200 million ordinary shares of RM1.00 each in the Company as announced earlier.</t>
  </si>
  <si>
    <t xml:space="preserve">    classified under current liability in prior year</t>
  </si>
  <si>
    <t xml:space="preserve">Reversal of ICULS - liability component </t>
  </si>
  <si>
    <t>financial statements under review except for the restatement of certain figures of last year's financial</t>
  </si>
  <si>
    <t>statements due to prior year adjustments for recognition of deferred tax liability and asset resulting from</t>
  </si>
  <si>
    <t>the adoption of MASB 25 : Income Taxes, and the recognition of short term compensated absence</t>
  </si>
  <si>
    <t>costs arising from the adoption of MASB 29 : Employee Benefits.</t>
  </si>
  <si>
    <t>5 - 8</t>
  </si>
  <si>
    <t>9 - 12</t>
  </si>
  <si>
    <t>profit of 12.3% and 11.0% respectively as compared to the previous year.</t>
  </si>
  <si>
    <t>PROFIT / (LOSS) ATTRIBUTABLE TO</t>
  </si>
  <si>
    <t>Net tangible assets per share (RM)      - Basic</t>
  </si>
  <si>
    <t>EARNINGS / (LOSS) PER SHARE (SEN)</t>
  </si>
  <si>
    <t>CASH &amp; CASH EQUIVALENTS AT 30 APRIL 2004</t>
  </si>
  <si>
    <t>Condensed Consolidated Income Statements.</t>
  </si>
  <si>
    <t>disclosed in Note B8 and the absorption of the minority interests' share of losses as disclosed in the</t>
  </si>
  <si>
    <t>less income tax of 28% amounting to RM26,104,439.</t>
  </si>
  <si>
    <t>tax of 28% amounting to RM156,220,729.</t>
  </si>
  <si>
    <t>income tax of 28% amounting to RM49,272,266.</t>
  </si>
  <si>
    <t>1,000,487,561 ordinary shares with voting rights, less income tax of 28% amounting to RM144,070,207.</t>
  </si>
  <si>
    <t xml:space="preserve">significant increase in the sales of the 4 Digit game coupled with improved consumer spending.  The </t>
  </si>
  <si>
    <t>Over provision in prior year</t>
  </si>
  <si>
    <t>Total quoted long term investments at cost</t>
  </si>
  <si>
    <t>Total quoted long term investments at book value</t>
  </si>
  <si>
    <t>Total quoted long term investments at market value</t>
  </si>
  <si>
    <t xml:space="preserve">wholly-owned subsidiaries up to an amount not exceeding RM1.2 billion.  As at 30 April 2004, a </t>
  </si>
  <si>
    <t xml:space="preserve">overseas subsidiary company amounting to USD1,315,125.  The US dollars denominated borrowings </t>
  </si>
  <si>
    <t>Tax recoverable</t>
  </si>
  <si>
    <t xml:space="preserve">Financial Reporting.  </t>
  </si>
  <si>
    <t>lower sale orders received for the lottery terminals and totalizator systems by International Lottery &amp;</t>
  </si>
  <si>
    <t>Totalizator systems, Inc.</t>
  </si>
  <si>
    <t xml:space="preserve">in revenue of 9.8% mainly due to the significant increase in sales of the 4 Digit game.  This coupled with </t>
  </si>
  <si>
    <t>current year also had two draws more than the previous year. However, the lower increase in pre-tax</t>
  </si>
  <si>
    <t xml:space="preserve">profit of 12.4% was mainly attributed to the relatively higher prize payout of the 4 Digit game as </t>
  </si>
  <si>
    <t>compared to the increase in revenue in the current quarter under review.</t>
  </si>
  <si>
    <t>Sports Toto and certain provision made for diminution in value of long term investments in the</t>
  </si>
  <si>
    <t>current quarter.</t>
  </si>
  <si>
    <t>of 2.5% and an increase of 16.7% in pre-tax profit.  The lower increase in revenue was mainly due to the</t>
  </si>
  <si>
    <t>Transfer to deferred tax liability</t>
  </si>
  <si>
    <t>MINORITY INTERESTS (refer to note at condensed consolidated income statement on pg. 2)</t>
  </si>
  <si>
    <t xml:space="preserve">The basic and diluted earnings / (loss) per share computation for the current quarter and financial year </t>
  </si>
  <si>
    <t>corporate shareholder amounting to RM151.9 million, as disclosed in the condensed consolidated income</t>
  </si>
  <si>
    <t>statement on page 2.</t>
  </si>
  <si>
    <t>31 May 2004.  The total dividend distribution per share in respect of the financial year ended</t>
  </si>
  <si>
    <t xml:space="preserve">30 April 2004 was RM0.28 per share less 28% income tax or a total net dividend of approximately </t>
  </si>
  <si>
    <t>RM207.3 million).</t>
  </si>
  <si>
    <t>RM193.3 million (2003 : RM0.38 per share less 28% income tax or a total net dividend of approximately</t>
  </si>
  <si>
    <t xml:space="preserve">The minority interests in prior year (as disclosed in the condensed consolidated balance sheet on </t>
  </si>
  <si>
    <t>page 1) reflect a net debit balance due to losses allocated to the minority corporate shareholder,</t>
  </si>
  <si>
    <t>Berjaya Group (Cayman) Limited, by virtue of its 48.5% share of the investment.  These</t>
  </si>
  <si>
    <t>losses are now absorbed by the Group as the minority corporate shareholder has indicated</t>
  </si>
  <si>
    <t>that it no longer wishes to invest further in the investment.</t>
  </si>
  <si>
    <t>INCREASE / (DECREASE) IN CASH AND CASH EQUIVALENTS</t>
  </si>
  <si>
    <t>ended 30 April 2004 has taken into account the absorption of losses previously allocated to the minority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</si>
</sst>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8" fontId="2" fillId="2" borderId="0" xfId="15" applyNumberFormat="1" applyFont="1" applyFill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0" fontId="1" fillId="0" borderId="0" xfId="15" applyNumberFormat="1" applyFont="1" applyAlignment="1" quotePrefix="1">
      <alignment horizontal="center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167" fontId="2" fillId="0" borderId="14" xfId="15" applyNumberFormat="1" applyFont="1" applyBorder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7" fontId="2" fillId="0" borderId="8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7" fontId="0" fillId="0" borderId="0" xfId="15" applyNumberFormat="1" applyAlignment="1">
      <alignment/>
    </xf>
    <xf numFmtId="167" fontId="2" fillId="0" borderId="12" xfId="15" applyNumberFormat="1" applyFont="1" applyBorder="1" applyAlignment="1">
      <alignment horizontal="right"/>
    </xf>
    <xf numFmtId="167" fontId="2" fillId="0" borderId="12" xfId="0" applyNumberFormat="1" applyFont="1" applyBorder="1" applyAlignment="1">
      <alignment/>
    </xf>
    <xf numFmtId="0" fontId="2" fillId="0" borderId="0" xfId="15" applyNumberFormat="1" applyFont="1" applyAlignment="1">
      <alignment horizontal="right"/>
    </xf>
    <xf numFmtId="0" fontId="1" fillId="0" borderId="0" xfId="15" applyNumberFormat="1" applyFont="1" applyFill="1" applyAlignment="1" quotePrefix="1">
      <alignment horizontal="center"/>
    </xf>
    <xf numFmtId="0" fontId="1" fillId="0" borderId="0" xfId="15" applyNumberFormat="1" applyFont="1" applyFill="1" applyBorder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67" fontId="2" fillId="0" borderId="2" xfId="15" applyNumberFormat="1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167" fontId="2" fillId="0" borderId="17" xfId="15" applyNumberFormat="1" applyFont="1" applyFill="1" applyBorder="1" applyAlignment="1">
      <alignment/>
    </xf>
    <xf numFmtId="167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7" fontId="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67" fontId="2" fillId="0" borderId="2" xfId="15" applyNumberFormat="1" applyFont="1" applyFill="1" applyBorder="1" applyAlignment="1">
      <alignment/>
    </xf>
    <xf numFmtId="167" fontId="2" fillId="0" borderId="1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167" fontId="2" fillId="0" borderId="15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20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3"/>
  <sheetViews>
    <sheetView showGridLines="0" workbookViewId="0" topLeftCell="A41">
      <selection activeCell="A21" sqref="A21"/>
    </sheetView>
  </sheetViews>
  <sheetFormatPr defaultColWidth="9.140625" defaultRowHeight="12.75"/>
  <cols>
    <col min="1" max="1" width="8.421875" style="56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YEAR ENDED 30 APRIL 2004</v>
      </c>
    </row>
    <row r="6" ht="5.25" customHeight="1">
      <c r="A6" s="5"/>
    </row>
    <row r="7" ht="15">
      <c r="A7" s="54" t="s">
        <v>84</v>
      </c>
    </row>
    <row r="8" ht="5.25" customHeight="1"/>
    <row r="9" spans="5:9" ht="15">
      <c r="E9" s="38"/>
      <c r="F9" s="185" t="s">
        <v>0</v>
      </c>
      <c r="G9" s="185"/>
      <c r="H9" s="185" t="s">
        <v>285</v>
      </c>
      <c r="I9" s="185"/>
    </row>
    <row r="10" spans="5:9" ht="15">
      <c r="E10" s="38"/>
      <c r="F10" s="169" t="s">
        <v>270</v>
      </c>
      <c r="G10" s="85" t="s">
        <v>183</v>
      </c>
      <c r="H10" s="168" t="str">
        <f>F10</f>
        <v>30-4-2004</v>
      </c>
      <c r="I10" s="85" t="str">
        <f>G10</f>
        <v>30-4-2003</v>
      </c>
    </row>
    <row r="11" spans="5:9" ht="15">
      <c r="E11" s="40"/>
      <c r="F11" s="40" t="s">
        <v>1</v>
      </c>
      <c r="G11" s="40" t="s">
        <v>1</v>
      </c>
      <c r="H11" s="40" t="s">
        <v>1</v>
      </c>
      <c r="I11" s="40" t="s">
        <v>1</v>
      </c>
    </row>
    <row r="12" spans="1:9" ht="22.5" customHeight="1" thickBot="1">
      <c r="A12" s="87" t="s">
        <v>2</v>
      </c>
      <c r="B12" s="41"/>
      <c r="C12" s="41"/>
      <c r="D12" s="41"/>
      <c r="E12" s="41"/>
      <c r="F12" s="42">
        <f>+H12-1841694</f>
        <v>634865</v>
      </c>
      <c r="G12" s="41">
        <v>619145</v>
      </c>
      <c r="H12" s="42">
        <v>2476559</v>
      </c>
      <c r="I12" s="41">
        <v>2205646</v>
      </c>
    </row>
    <row r="13" spans="6:8" ht="15">
      <c r="F13" s="43"/>
      <c r="H13" s="43"/>
    </row>
    <row r="14" spans="1:9" ht="15">
      <c r="A14" s="56" t="s">
        <v>101</v>
      </c>
      <c r="F14" s="43">
        <f>+H14-304082</f>
        <v>99191</v>
      </c>
      <c r="G14" s="39">
        <v>102250</v>
      </c>
      <c r="H14" s="43">
        <f>404209-1054+4+403-171-118</f>
        <v>403273</v>
      </c>
      <c r="I14" s="39">
        <f>371268-1152</f>
        <v>370116</v>
      </c>
    </row>
    <row r="15" spans="6:8" ht="15">
      <c r="F15" s="43"/>
      <c r="H15" s="43"/>
    </row>
    <row r="16" spans="1:9" ht="15">
      <c r="A16" s="56" t="s">
        <v>343</v>
      </c>
      <c r="F16" s="43">
        <f>+H16-48384</f>
        <v>14593</v>
      </c>
      <c r="G16" s="39">
        <f>12489</f>
        <v>12489</v>
      </c>
      <c r="H16" s="43">
        <v>62977</v>
      </c>
      <c r="I16" s="39">
        <f>709+78476</f>
        <v>79185</v>
      </c>
    </row>
    <row r="17" spans="1:9" ht="15">
      <c r="A17" s="56" t="s">
        <v>344</v>
      </c>
      <c r="F17" s="43">
        <f>+H17-0</f>
        <v>-7927</v>
      </c>
      <c r="G17" s="39">
        <v>-28234</v>
      </c>
      <c r="H17" s="43">
        <f>-215-711-7001</f>
        <v>-7927</v>
      </c>
      <c r="I17" s="39">
        <v>-32471</v>
      </c>
    </row>
    <row r="18" spans="1:9" ht="15">
      <c r="A18" s="56" t="s">
        <v>3</v>
      </c>
      <c r="F18" s="43">
        <f>+H18--15881</f>
        <v>-5142</v>
      </c>
      <c r="G18" s="39">
        <v>-156</v>
      </c>
      <c r="H18" s="43">
        <v>-21023</v>
      </c>
      <c r="I18" s="39">
        <v>-23368</v>
      </c>
    </row>
    <row r="19" spans="1:9" ht="15">
      <c r="A19" s="56" t="s">
        <v>70</v>
      </c>
      <c r="F19" s="43">
        <f>+H19-0</f>
        <v>-409</v>
      </c>
      <c r="G19" s="39">
        <v>-369</v>
      </c>
      <c r="H19" s="43">
        <v>-409</v>
      </c>
      <c r="I19" s="39">
        <v>98</v>
      </c>
    </row>
    <row r="20" spans="1:9" ht="9.75" customHeight="1">
      <c r="A20" s="88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6" t="s">
        <v>4</v>
      </c>
      <c r="F21" s="43">
        <f>SUM(F14:F20)</f>
        <v>100306</v>
      </c>
      <c r="G21" s="39">
        <f>SUM(G14:G20)</f>
        <v>85980</v>
      </c>
      <c r="H21" s="43">
        <f>SUM(H14:H20)</f>
        <v>436891</v>
      </c>
      <c r="I21" s="39">
        <f>SUM(I14:I20)</f>
        <v>393560</v>
      </c>
    </row>
    <row r="22" spans="6:8" ht="17.25" customHeight="1">
      <c r="F22" s="43"/>
      <c r="H22" s="43"/>
    </row>
    <row r="23" spans="1:9" ht="18.75" customHeight="1">
      <c r="A23" s="89" t="s">
        <v>5</v>
      </c>
      <c r="B23" s="46"/>
      <c r="C23" s="46"/>
      <c r="D23" s="46"/>
      <c r="E23" s="46"/>
      <c r="F23" s="47">
        <f>+H23--101990</f>
        <v>-41609</v>
      </c>
      <c r="G23" s="46">
        <v>-30523</v>
      </c>
      <c r="H23" s="47">
        <f>-147255+9547-151-1339-4401</f>
        <v>-143599</v>
      </c>
      <c r="I23" s="46">
        <v>-131741</v>
      </c>
    </row>
    <row r="24" spans="1:9" ht="20.25" customHeight="1">
      <c r="A24" s="56" t="s">
        <v>6</v>
      </c>
      <c r="F24" s="43">
        <f>SUM(F21:F23)</f>
        <v>58697</v>
      </c>
      <c r="G24" s="39">
        <f>SUM(G21:G23)</f>
        <v>55457</v>
      </c>
      <c r="H24" s="43">
        <f>SUM(H21:H23)</f>
        <v>293292</v>
      </c>
      <c r="I24" s="39">
        <f>SUM(I21:I23)</f>
        <v>261819</v>
      </c>
    </row>
    <row r="25" spans="6:8" ht="16.5" customHeight="1">
      <c r="F25" s="43"/>
      <c r="H25" s="43"/>
    </row>
    <row r="26" spans="1:9" ht="15">
      <c r="A26" s="170" t="s">
        <v>361</v>
      </c>
      <c r="F26" s="43">
        <f>+H26--5097</f>
        <v>-154153</v>
      </c>
      <c r="G26" s="39">
        <v>-4883</v>
      </c>
      <c r="H26" s="43">
        <v>-159250</v>
      </c>
      <c r="I26" s="39">
        <v>-4340</v>
      </c>
    </row>
    <row r="27" spans="1:9" ht="9.75" customHeight="1">
      <c r="A27" s="88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6" t="s">
        <v>406</v>
      </c>
      <c r="F28" s="43"/>
      <c r="H28" s="43"/>
    </row>
    <row r="29" spans="1:9" ht="15">
      <c r="A29" s="56" t="s">
        <v>47</v>
      </c>
      <c r="F29" s="43">
        <f>+F24+F26</f>
        <v>-95456</v>
      </c>
      <c r="G29" s="39">
        <f>+G24+G26</f>
        <v>50574</v>
      </c>
      <c r="H29" s="43">
        <f>+H24+H26</f>
        <v>134042</v>
      </c>
      <c r="I29" s="39">
        <f>+I24+I26</f>
        <v>257479</v>
      </c>
    </row>
    <row r="30" spans="1:9" ht="9" customHeight="1" thickBot="1">
      <c r="A30" s="90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6" t="s">
        <v>408</v>
      </c>
      <c r="F32" s="43"/>
      <c r="H32" s="43"/>
    </row>
    <row r="33" spans="1:9" ht="15.75" customHeight="1">
      <c r="A33" s="56" t="s">
        <v>7</v>
      </c>
      <c r="F33" s="50">
        <f>+'Notes (2)'!I171</f>
        <v>-10.154418303824077</v>
      </c>
      <c r="G33" s="51">
        <f>+'Notes (2)'!J171</f>
        <v>6.97</v>
      </c>
      <c r="H33" s="50">
        <f>+'Notes (2)'!I192</f>
        <v>15.860706171904582</v>
      </c>
      <c r="I33" s="51">
        <f>+'Notes (2)'!J192</f>
        <v>39.8358474510714</v>
      </c>
    </row>
    <row r="34" spans="6:8" ht="8.25" customHeight="1">
      <c r="F34" s="52"/>
      <c r="H34" s="43"/>
    </row>
    <row r="35" spans="1:9" ht="15">
      <c r="A35" s="56" t="s">
        <v>8</v>
      </c>
      <c r="F35" s="116">
        <f>+'Notes (2)'!I181</f>
        <v>-7.161094175900389</v>
      </c>
      <c r="G35" s="51">
        <f>+'Notes (2)'!J181</f>
        <v>6.69</v>
      </c>
      <c r="H35" s="116">
        <f>+'Notes (2)'!I202</f>
        <v>13.89416141523043</v>
      </c>
      <c r="I35" s="51">
        <f>+'Notes (2)'!J202</f>
        <v>26.964022038830777</v>
      </c>
    </row>
    <row r="36" spans="1:9" ht="9" customHeight="1" thickBot="1">
      <c r="A36" s="90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6" t="s">
        <v>61</v>
      </c>
      <c r="F38" s="50"/>
      <c r="G38" s="51"/>
      <c r="H38" s="50"/>
      <c r="I38" s="51"/>
    </row>
    <row r="39" spans="1:9" ht="15">
      <c r="A39" s="57" t="s">
        <v>271</v>
      </c>
      <c r="F39" s="50">
        <v>0</v>
      </c>
      <c r="G39" s="51">
        <v>0</v>
      </c>
      <c r="H39" s="50">
        <f>8*0.72</f>
        <v>5.76</v>
      </c>
      <c r="I39" s="51">
        <f>5*0.72</f>
        <v>3.5999999999999996</v>
      </c>
    </row>
    <row r="40" spans="1:9" ht="15">
      <c r="A40" s="57" t="s">
        <v>272</v>
      </c>
      <c r="F40" s="50">
        <f>20*0.72</f>
        <v>14.399999999999999</v>
      </c>
      <c r="G40" s="51">
        <v>0</v>
      </c>
      <c r="H40" s="50">
        <f>20*0.72</f>
        <v>14.399999999999999</v>
      </c>
      <c r="I40" s="51">
        <f>5*0.72</f>
        <v>3.5999999999999996</v>
      </c>
    </row>
    <row r="41" spans="1:9" ht="15">
      <c r="A41" s="57" t="s">
        <v>274</v>
      </c>
      <c r="F41" s="50">
        <v>0</v>
      </c>
      <c r="G41" s="51">
        <v>0</v>
      </c>
      <c r="H41" s="50">
        <v>0</v>
      </c>
      <c r="I41" s="51">
        <v>135</v>
      </c>
    </row>
    <row r="42" spans="1:9" ht="15">
      <c r="A42" s="57" t="s">
        <v>273</v>
      </c>
      <c r="F42" s="50">
        <v>0</v>
      </c>
      <c r="G42" s="51">
        <f>28*0.72</f>
        <v>20.16</v>
      </c>
      <c r="H42" s="50">
        <v>0</v>
      </c>
      <c r="I42" s="51">
        <f>28*0.72</f>
        <v>20.16</v>
      </c>
    </row>
    <row r="43" spans="1:9" ht="8.25" customHeight="1" thickBot="1">
      <c r="A43" s="90"/>
      <c r="B43" s="48"/>
      <c r="C43" s="48"/>
      <c r="D43" s="48"/>
      <c r="E43" s="48"/>
      <c r="F43" s="49"/>
      <c r="G43" s="48"/>
      <c r="H43" s="49"/>
      <c r="I43" s="48"/>
    </row>
    <row r="45" spans="1:9" ht="15">
      <c r="A45" s="167" t="s">
        <v>280</v>
      </c>
      <c r="B45" s="39" t="s">
        <v>443</v>
      </c>
      <c r="I45" s="53"/>
    </row>
    <row r="46" spans="2:9" ht="15">
      <c r="B46" s="39" t="s">
        <v>444</v>
      </c>
      <c r="I46" s="53"/>
    </row>
    <row r="47" spans="2:9" ht="15">
      <c r="B47" s="39" t="s">
        <v>445</v>
      </c>
      <c r="I47" s="53"/>
    </row>
    <row r="48" spans="2:9" ht="15" customHeight="1">
      <c r="B48" s="39" t="s">
        <v>446</v>
      </c>
      <c r="I48" s="53"/>
    </row>
    <row r="49" spans="2:9" ht="15" customHeight="1">
      <c r="B49" s="39" t="s">
        <v>447</v>
      </c>
      <c r="I49" s="53"/>
    </row>
    <row r="50" ht="15" customHeight="1">
      <c r="I50" s="53"/>
    </row>
    <row r="51" ht="15" customHeight="1">
      <c r="I51" s="53"/>
    </row>
    <row r="52" ht="15" customHeight="1">
      <c r="I52" s="53"/>
    </row>
    <row r="53" ht="20.25" customHeight="1">
      <c r="A53" s="91" t="s">
        <v>157</v>
      </c>
    </row>
    <row r="54" ht="6.75" customHeight="1"/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30-4-2004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7">
      <selection activeCell="I25" sqref="I25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 customHeight="1">
      <c r="A2" s="187" t="s">
        <v>100</v>
      </c>
      <c r="B2" s="187"/>
      <c r="C2" s="187"/>
      <c r="D2" s="187"/>
      <c r="E2" s="187"/>
      <c r="F2" s="187"/>
      <c r="G2" s="187"/>
      <c r="H2" s="187"/>
      <c r="I2" s="187"/>
      <c r="J2" s="187"/>
    </row>
    <row r="10" spans="1:9" ht="27.75" customHeight="1">
      <c r="A10" s="106" t="s">
        <v>73</v>
      </c>
      <c r="B10" s="188" t="s">
        <v>345</v>
      </c>
      <c r="C10" s="188"/>
      <c r="D10" s="188"/>
      <c r="E10" s="188"/>
      <c r="F10" s="188"/>
      <c r="G10" s="188"/>
      <c r="H10" s="105"/>
      <c r="I10" s="105"/>
    </row>
    <row r="12" spans="2:9" ht="15">
      <c r="B12" s="102" t="s">
        <v>82</v>
      </c>
      <c r="I12" s="72" t="s">
        <v>83</v>
      </c>
    </row>
    <row r="13" ht="9" customHeight="1"/>
    <row r="14" spans="2:9" ht="15">
      <c r="B14" s="2" t="s">
        <v>77</v>
      </c>
      <c r="I14" s="72">
        <v>1</v>
      </c>
    </row>
    <row r="15" ht="9" customHeight="1">
      <c r="I15" s="72"/>
    </row>
    <row r="16" spans="2:9" ht="15">
      <c r="B16" s="2" t="s">
        <v>78</v>
      </c>
      <c r="I16" s="72">
        <v>2</v>
      </c>
    </row>
    <row r="17" ht="9" customHeight="1">
      <c r="I17" s="72"/>
    </row>
    <row r="18" spans="2:9" ht="15">
      <c r="B18" s="2" t="s">
        <v>79</v>
      </c>
      <c r="I18" s="72">
        <v>3</v>
      </c>
    </row>
    <row r="19" ht="9" customHeight="1">
      <c r="I19" s="72"/>
    </row>
    <row r="20" spans="2:9" ht="15">
      <c r="B20" s="2" t="s">
        <v>80</v>
      </c>
      <c r="I20" s="72">
        <v>4</v>
      </c>
    </row>
    <row r="21" ht="9" customHeight="1">
      <c r="I21" s="72"/>
    </row>
    <row r="22" spans="2:9" ht="15">
      <c r="B22" s="2" t="s">
        <v>81</v>
      </c>
      <c r="I22" s="103" t="s">
        <v>403</v>
      </c>
    </row>
    <row r="23" ht="9" customHeight="1">
      <c r="I23" s="72"/>
    </row>
    <row r="24" spans="2:10" ht="15">
      <c r="B24" s="2" t="s">
        <v>384</v>
      </c>
      <c r="I24" s="104" t="s">
        <v>404</v>
      </c>
      <c r="J24" s="101"/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GridLines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4" sqref="A34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9.75" customHeight="1">
      <c r="H1" s="3"/>
    </row>
    <row r="2" ht="2.2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YEAR ENDED 30 APRIL 2004</v>
      </c>
      <c r="H4" s="3"/>
    </row>
    <row r="5" spans="1:9" ht="12.75" customHeight="1">
      <c r="A5" s="73" t="s">
        <v>76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9</v>
      </c>
      <c r="G6" s="5"/>
      <c r="H6" s="189" t="s">
        <v>23</v>
      </c>
      <c r="I6" s="189"/>
      <c r="J6" s="8"/>
    </row>
    <row r="7" spans="7:10" ht="13.5" customHeight="1">
      <c r="G7" s="5"/>
      <c r="H7" s="9" t="str">
        <f>PL!F10</f>
        <v>30-4-2004</v>
      </c>
      <c r="I7" s="9" t="s">
        <v>183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1</v>
      </c>
      <c r="I8" s="11" t="s">
        <v>1</v>
      </c>
      <c r="J8" s="8"/>
    </row>
    <row r="9" spans="1:10" ht="14.25" customHeight="1">
      <c r="A9" s="8" t="s">
        <v>235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24</v>
      </c>
      <c r="H10" s="14">
        <v>79499</v>
      </c>
      <c r="I10" s="15">
        <v>115086</v>
      </c>
    </row>
    <row r="11" spans="1:9" ht="14.25" customHeight="1">
      <c r="A11" s="2" t="s">
        <v>102</v>
      </c>
      <c r="H11" s="15">
        <v>23932</v>
      </c>
      <c r="I11" s="15">
        <v>11519</v>
      </c>
    </row>
    <row r="12" spans="1:9" ht="14.25" customHeight="1">
      <c r="A12" s="2" t="s">
        <v>88</v>
      </c>
      <c r="H12" s="15">
        <v>55610</v>
      </c>
      <c r="I12" s="15">
        <v>2580</v>
      </c>
    </row>
    <row r="13" spans="1:9" ht="14.25" customHeight="1">
      <c r="A13" s="2" t="s">
        <v>89</v>
      </c>
      <c r="H13" s="15">
        <v>5711</v>
      </c>
      <c r="I13" s="15">
        <v>620</v>
      </c>
    </row>
    <row r="14" spans="1:9" ht="14.25" customHeight="1">
      <c r="A14" s="4" t="s">
        <v>90</v>
      </c>
      <c r="B14" s="4"/>
      <c r="C14" s="4"/>
      <c r="D14" s="4"/>
      <c r="E14" s="4"/>
      <c r="F14" s="4"/>
      <c r="G14" s="4"/>
      <c r="H14" s="15">
        <v>619757</v>
      </c>
      <c r="I14" s="15">
        <v>612798</v>
      </c>
    </row>
    <row r="15" spans="1:9" ht="14.25" customHeight="1">
      <c r="A15" s="4" t="s">
        <v>103</v>
      </c>
      <c r="B15" s="4"/>
      <c r="C15" s="4"/>
      <c r="D15" s="4"/>
      <c r="E15" s="4"/>
      <c r="F15" s="4"/>
      <c r="G15" s="4"/>
      <c r="H15" s="15">
        <v>0</v>
      </c>
      <c r="I15" s="15">
        <v>3</v>
      </c>
    </row>
    <row r="16" spans="1:9" ht="2.25" customHeight="1">
      <c r="A16" s="4"/>
      <c r="B16" s="4"/>
      <c r="C16" s="4"/>
      <c r="D16" s="4"/>
      <c r="E16" s="4"/>
      <c r="F16" s="4"/>
      <c r="G16" s="4"/>
      <c r="H16" s="15"/>
      <c r="I16" s="15"/>
    </row>
    <row r="17" spans="1:9" ht="14.25" customHeight="1">
      <c r="A17" s="5" t="s">
        <v>10</v>
      </c>
      <c r="H17" s="15"/>
      <c r="I17" s="15"/>
    </row>
    <row r="18" spans="1:10" ht="14.25" customHeight="1">
      <c r="A18" s="2" t="s">
        <v>104</v>
      </c>
      <c r="H18" s="31">
        <v>18676</v>
      </c>
      <c r="I18" s="33">
        <v>21811</v>
      </c>
      <c r="J18" s="17"/>
    </row>
    <row r="19" spans="1:10" ht="14.25" customHeight="1">
      <c r="A19" s="2" t="s">
        <v>206</v>
      </c>
      <c r="H19" s="32">
        <f>23925+30880+59</f>
        <v>54864</v>
      </c>
      <c r="I19" s="34">
        <f>92361</f>
        <v>92361</v>
      </c>
      <c r="J19" s="17"/>
    </row>
    <row r="20" spans="1:10" ht="14.25" customHeight="1">
      <c r="A20" s="2" t="s">
        <v>423</v>
      </c>
      <c r="H20" s="32">
        <f>1798-151</f>
        <v>1647</v>
      </c>
      <c r="I20" s="34">
        <v>0</v>
      </c>
      <c r="J20" s="17"/>
    </row>
    <row r="21" spans="1:10" ht="14.25" customHeight="1">
      <c r="A21" s="2" t="s">
        <v>238</v>
      </c>
      <c r="H21" s="32">
        <v>916292</v>
      </c>
      <c r="I21" s="34">
        <v>1058375</v>
      </c>
      <c r="J21" s="17"/>
    </row>
    <row r="22" spans="1:10" ht="14.25" customHeight="1">
      <c r="A22" s="2" t="s">
        <v>105</v>
      </c>
      <c r="H22" s="32">
        <v>265401</v>
      </c>
      <c r="I22" s="34">
        <v>91390</v>
      </c>
      <c r="J22" s="17"/>
    </row>
    <row r="23" spans="1:10" ht="14.25" customHeight="1">
      <c r="A23" s="30" t="s">
        <v>11</v>
      </c>
      <c r="B23" s="30"/>
      <c r="C23" s="30"/>
      <c r="D23" s="30"/>
      <c r="E23" s="30"/>
      <c r="F23" s="30"/>
      <c r="G23" s="30"/>
      <c r="H23" s="37">
        <v>77971</v>
      </c>
      <c r="I23" s="35">
        <v>49756</v>
      </c>
      <c r="J23" s="18"/>
    </row>
    <row r="24" spans="1:10" ht="14.25" customHeight="1">
      <c r="A24" s="4"/>
      <c r="B24" s="4"/>
      <c r="C24" s="4"/>
      <c r="D24" s="4"/>
      <c r="E24" s="4"/>
      <c r="F24" s="4"/>
      <c r="G24" s="4"/>
      <c r="H24" s="36">
        <f>SUM(H18:H23)</f>
        <v>1334851</v>
      </c>
      <c r="I24" s="29">
        <f>SUM(I18:I23)</f>
        <v>1313693</v>
      </c>
      <c r="J24" s="17"/>
    </row>
    <row r="25" spans="1:10" ht="14.25" customHeight="1">
      <c r="A25" s="5" t="s">
        <v>12</v>
      </c>
      <c r="H25" s="32"/>
      <c r="I25" s="34"/>
      <c r="J25" s="17"/>
    </row>
    <row r="26" spans="1:10" ht="14.25" customHeight="1">
      <c r="A26" s="2" t="s">
        <v>205</v>
      </c>
      <c r="H26" s="32">
        <f>28262+356501</f>
        <v>384763</v>
      </c>
      <c r="I26" s="34">
        <f>325225+1152</f>
        <v>326377</v>
      </c>
      <c r="J26" s="17"/>
    </row>
    <row r="27" spans="1:10" ht="14.25" customHeight="1">
      <c r="A27" s="2" t="s">
        <v>239</v>
      </c>
      <c r="H27" s="32">
        <v>711</v>
      </c>
      <c r="I27" s="34">
        <v>970</v>
      </c>
      <c r="J27" s="17"/>
    </row>
    <row r="28" spans="1:10" ht="14.25" customHeight="1">
      <c r="A28" s="2" t="s">
        <v>13</v>
      </c>
      <c r="H28" s="32">
        <v>4997</v>
      </c>
      <c r="I28" s="34">
        <v>11761</v>
      </c>
      <c r="J28" s="17"/>
    </row>
    <row r="29" spans="1:10" ht="14.25" customHeight="1">
      <c r="A29" s="2" t="s">
        <v>14</v>
      </c>
      <c r="H29" s="32">
        <f>28768-9547+1798+1339</f>
        <v>22358</v>
      </c>
      <c r="I29" s="34">
        <v>10207</v>
      </c>
      <c r="J29" s="17"/>
    </row>
    <row r="30" spans="1:10" ht="14.25" customHeight="1">
      <c r="A30" s="4"/>
      <c r="B30" s="4"/>
      <c r="C30" s="4"/>
      <c r="D30" s="4"/>
      <c r="E30" s="4"/>
      <c r="F30" s="4"/>
      <c r="G30" s="4"/>
      <c r="H30" s="36">
        <f>SUM(H26:H29)</f>
        <v>412829</v>
      </c>
      <c r="I30" s="29">
        <f>SUM(I26:I29)</f>
        <v>349315</v>
      </c>
      <c r="J30" s="17"/>
    </row>
    <row r="31" spans="1:10" ht="14.25" customHeight="1">
      <c r="A31" s="110" t="s">
        <v>15</v>
      </c>
      <c r="B31" s="22"/>
      <c r="C31" s="22"/>
      <c r="D31" s="22"/>
      <c r="E31" s="22"/>
      <c r="F31" s="22"/>
      <c r="G31" s="22"/>
      <c r="H31" s="111">
        <f>H24-H30</f>
        <v>922022</v>
      </c>
      <c r="I31" s="111">
        <f>I24-I30</f>
        <v>964378</v>
      </c>
      <c r="J31" s="22"/>
    </row>
    <row r="32" spans="1:10" ht="1.5" customHeight="1">
      <c r="A32" s="19"/>
      <c r="B32" s="20"/>
      <c r="C32" s="20"/>
      <c r="D32" s="20"/>
      <c r="E32" s="20"/>
      <c r="F32" s="20"/>
      <c r="G32" s="20"/>
      <c r="H32" s="21"/>
      <c r="I32" s="21"/>
      <c r="J32" s="22"/>
    </row>
    <row r="33" spans="1:9" ht="14.25" customHeight="1" thickBot="1">
      <c r="A33" s="10"/>
      <c r="B33" s="10"/>
      <c r="C33" s="10"/>
      <c r="D33" s="10"/>
      <c r="E33" s="10"/>
      <c r="F33" s="10"/>
      <c r="G33" s="10"/>
      <c r="H33" s="23">
        <f>SUM(H10:H15)+H31</f>
        <v>1706531</v>
      </c>
      <c r="I33" s="23">
        <f>SUM(I10:I15)+I31</f>
        <v>1706984</v>
      </c>
    </row>
    <row r="34" spans="1:9" ht="15.75" customHeight="1">
      <c r="A34" s="5" t="s">
        <v>16</v>
      </c>
      <c r="H34" s="25"/>
      <c r="I34" s="15"/>
    </row>
    <row r="35" spans="1:9" ht="14.25" customHeight="1">
      <c r="A35" s="2" t="s">
        <v>17</v>
      </c>
      <c r="H35" s="25">
        <v>1037588</v>
      </c>
      <c r="I35" s="15">
        <v>801315</v>
      </c>
    </row>
    <row r="36" spans="1:9" ht="14.25" customHeight="1">
      <c r="A36" s="2" t="s">
        <v>106</v>
      </c>
      <c r="H36" s="25">
        <v>261607</v>
      </c>
      <c r="I36" s="15">
        <v>192817</v>
      </c>
    </row>
    <row r="37" spans="1:9" ht="14.25" customHeight="1">
      <c r="A37" s="2" t="s">
        <v>107</v>
      </c>
      <c r="H37" s="25">
        <f>260944-H36</f>
        <v>-663</v>
      </c>
      <c r="I37" s="15">
        <v>350</v>
      </c>
    </row>
    <row r="38" spans="1:9" ht="14.25" customHeight="1">
      <c r="A38" s="2" t="s">
        <v>184</v>
      </c>
      <c r="H38" s="15">
        <f>+SICE!H28</f>
        <v>133134</v>
      </c>
      <c r="I38" s="15">
        <v>240702</v>
      </c>
    </row>
    <row r="39" spans="1:9" ht="14.25" customHeight="1">
      <c r="A39" s="2" t="s">
        <v>91</v>
      </c>
      <c r="H39" s="16">
        <f>+SICE!J28</f>
        <v>363354</v>
      </c>
      <c r="I39" s="16">
        <f>+SICE!J46</f>
        <v>578875</v>
      </c>
    </row>
    <row r="40" spans="1:9" ht="14.25" customHeight="1">
      <c r="A40" s="2" t="s">
        <v>186</v>
      </c>
      <c r="H40" s="25">
        <f>SUM(H35:H39)</f>
        <v>1795020</v>
      </c>
      <c r="I40" s="25">
        <f>SUM(I35:I39)</f>
        <v>1814059</v>
      </c>
    </row>
    <row r="41" spans="1:9" ht="14.25" customHeight="1">
      <c r="A41" s="2" t="s">
        <v>108</v>
      </c>
      <c r="H41" s="15">
        <f>+SICE!G28</f>
        <v>-215258</v>
      </c>
      <c r="I41" s="15">
        <v>-206089</v>
      </c>
    </row>
    <row r="42" spans="1:9" ht="14.25" customHeight="1">
      <c r="A42" s="2" t="s">
        <v>165</v>
      </c>
      <c r="H42" s="16">
        <v>-57355</v>
      </c>
      <c r="I42" s="16">
        <v>-35348</v>
      </c>
    </row>
    <row r="43" spans="1:9" ht="14.25" customHeight="1">
      <c r="A43" s="2" t="s">
        <v>192</v>
      </c>
      <c r="H43" s="25">
        <f>SUM(H40:H42)</f>
        <v>1522407</v>
      </c>
      <c r="I43" s="25">
        <f>SUM(I40:I42)</f>
        <v>1572622</v>
      </c>
    </row>
    <row r="44" spans="1:9" ht="14.25" customHeight="1">
      <c r="A44" s="2" t="s">
        <v>435</v>
      </c>
      <c r="H44" s="16">
        <v>8539</v>
      </c>
      <c r="I44" s="16">
        <v>-155116</v>
      </c>
    </row>
    <row r="45" spans="1:9" ht="14.25" customHeight="1">
      <c r="A45" s="2" t="s">
        <v>194</v>
      </c>
      <c r="H45" s="25">
        <f>+H43+H44</f>
        <v>1530946</v>
      </c>
      <c r="I45" s="25">
        <f>+I43+I44</f>
        <v>1417506</v>
      </c>
    </row>
    <row r="46" spans="1:9" ht="14.25" customHeight="1">
      <c r="A46" s="2" t="s">
        <v>204</v>
      </c>
      <c r="H46" s="25">
        <v>1759</v>
      </c>
      <c r="I46" s="25">
        <v>1816</v>
      </c>
    </row>
    <row r="47" spans="1:9" ht="14.25" customHeight="1">
      <c r="A47" s="2" t="s">
        <v>364</v>
      </c>
      <c r="H47" s="25">
        <f>7488+4401</f>
        <v>11889</v>
      </c>
      <c r="I47" s="25">
        <v>7579</v>
      </c>
    </row>
    <row r="48" spans="1:9" ht="14.25" customHeight="1">
      <c r="A48" s="2" t="s">
        <v>109</v>
      </c>
      <c r="H48" s="25">
        <v>31528</v>
      </c>
      <c r="I48" s="15">
        <v>31117</v>
      </c>
    </row>
    <row r="49" spans="1:9" ht="14.25" customHeight="1">
      <c r="A49" s="2" t="s">
        <v>193</v>
      </c>
      <c r="H49" s="2"/>
      <c r="I49" s="2"/>
    </row>
    <row r="50" spans="1:9" ht="14.25" customHeight="1">
      <c r="A50" s="2" t="s">
        <v>185</v>
      </c>
      <c r="H50" s="25">
        <v>130409</v>
      </c>
      <c r="I50" s="25">
        <v>248966</v>
      </c>
    </row>
    <row r="51" spans="1:9" ht="14.25" customHeight="1" thickBot="1">
      <c r="A51" s="26"/>
      <c r="B51" s="26"/>
      <c r="C51" s="26"/>
      <c r="D51" s="26"/>
      <c r="E51" s="26"/>
      <c r="F51" s="26"/>
      <c r="G51" s="26"/>
      <c r="H51" s="24">
        <f>SUM(H45:H50)</f>
        <v>1706531</v>
      </c>
      <c r="I51" s="24">
        <f>SUM(I45:I50)</f>
        <v>1706984</v>
      </c>
    </row>
    <row r="52" spans="1:9" ht="15.75" customHeight="1">
      <c r="A52" s="2" t="s">
        <v>407</v>
      </c>
      <c r="H52" s="109">
        <f>($H$43-$H$14-$H$15-H38)/($H$35-37100)</f>
        <v>0.7691406593582332</v>
      </c>
      <c r="I52" s="109">
        <f>($I$43-$I$14-$I$15-I38)/($I$35-34850)</f>
        <v>0.9382280991304235</v>
      </c>
    </row>
    <row r="53" spans="4:9" ht="15.75" customHeight="1">
      <c r="D53" s="2" t="s">
        <v>190</v>
      </c>
      <c r="H53" s="109">
        <f>($H$43-$H$14-$H$15)/($H$35-37100+((313929)/1.2))</f>
        <v>0.7151994440991193</v>
      </c>
      <c r="I53" s="109">
        <f>($I$43-$I$14-$I$15)/($I$35-34850+((537771)/1.2))</f>
        <v>0.7902314122051773</v>
      </c>
    </row>
    <row r="54" spans="1:9" ht="14.25" customHeight="1">
      <c r="A54" s="2" t="s">
        <v>87</v>
      </c>
      <c r="D54" s="2" t="s">
        <v>191</v>
      </c>
      <c r="H54" s="109">
        <f>ROUND((+$H$43-H38)/($H$35-37100),2)</f>
        <v>1.39</v>
      </c>
      <c r="I54" s="109">
        <f>(+$I$43-I38)/($I$35-34850)</f>
        <v>1.7377440587632833</v>
      </c>
    </row>
    <row r="55" spans="4:9" ht="14.25" customHeight="1">
      <c r="D55" s="2" t="s">
        <v>190</v>
      </c>
      <c r="H55" s="109">
        <f>ROUND(+$H$43/($H$35-37100+((313929)/1.2)),2)</f>
        <v>1.21</v>
      </c>
      <c r="I55" s="109">
        <f>+$I$43/($I$35-34850+((537771)/1.2))</f>
        <v>1.294757359887865</v>
      </c>
    </row>
    <row r="56" spans="8:9" ht="2.25" customHeight="1">
      <c r="H56" s="109"/>
      <c r="I56" s="155"/>
    </row>
    <row r="57" spans="1:9" ht="14.25" customHeight="1">
      <c r="A57" s="2" t="s">
        <v>236</v>
      </c>
      <c r="H57" s="109"/>
      <c r="I57" s="155"/>
    </row>
    <row r="58" spans="1:9" ht="14.25" customHeight="1">
      <c r="A58" s="2" t="s">
        <v>199</v>
      </c>
      <c r="H58" s="109"/>
      <c r="I58" s="155"/>
    </row>
    <row r="59" spans="1:9" ht="14.25" customHeight="1">
      <c r="A59" s="2" t="s">
        <v>200</v>
      </c>
      <c r="H59" s="109"/>
      <c r="I59" s="155"/>
    </row>
    <row r="60" spans="1:9" ht="14.25" customHeight="1">
      <c r="A60" s="2" t="s">
        <v>247</v>
      </c>
      <c r="H60" s="109"/>
      <c r="I60" s="155"/>
    </row>
    <row r="61" spans="1:9" ht="14.25" customHeight="1">
      <c r="A61" s="2" t="s">
        <v>246</v>
      </c>
      <c r="H61" s="109"/>
      <c r="I61" s="155"/>
    </row>
    <row r="62" spans="8:9" ht="1.5" customHeight="1">
      <c r="H62" s="109"/>
      <c r="I62" s="155"/>
    </row>
    <row r="63" spans="1:9" ht="14.25" customHeight="1">
      <c r="A63" s="2" t="s">
        <v>237</v>
      </c>
      <c r="H63" s="109"/>
      <c r="I63" s="155"/>
    </row>
    <row r="64" spans="1:9" ht="14.25" customHeight="1">
      <c r="A64" s="2" t="s">
        <v>198</v>
      </c>
      <c r="H64" s="109"/>
      <c r="I64" s="155"/>
    </row>
    <row r="65" spans="1:9" ht="14.25" customHeight="1">
      <c r="A65" s="2" t="s">
        <v>245</v>
      </c>
      <c r="H65" s="109"/>
      <c r="I65" s="155"/>
    </row>
    <row r="66" spans="1:9" ht="13.5" customHeight="1">
      <c r="A66" s="2" t="s">
        <v>244</v>
      </c>
      <c r="H66" s="109"/>
      <c r="I66" s="155"/>
    </row>
    <row r="67" spans="1:9" ht="13.5" customHeight="1">
      <c r="A67" s="5" t="s">
        <v>157</v>
      </c>
      <c r="H67" s="25"/>
      <c r="I67" s="15"/>
    </row>
    <row r="68" spans="8:9" ht="15">
      <c r="H68" s="113">
        <f>+H51-H33</f>
        <v>0</v>
      </c>
      <c r="I68" s="113">
        <f>+I51-I33</f>
        <v>0</v>
      </c>
    </row>
  </sheetData>
  <mergeCells count="1">
    <mergeCell ref="H6:I6"/>
  </mergeCells>
  <printOptions/>
  <pageMargins left="0.75" right="0.49" top="0.86" bottom="0.81" header="0.5" footer="0.5"/>
  <pageSetup horizontalDpi="600" verticalDpi="600" orientation="portrait" paperSize="9" scale="85" r:id="rId1"/>
  <headerFooter alignWithMargins="0">
    <oddHeader>&amp;R&amp;"Arial,Bold"Berjaya Sports Toto Berhad&amp;U
&amp;9&amp;U(&amp;"Arial,Regular"Company No. 9109-K)
Quarterly Report 30-4-2004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89"/>
  <sheetViews>
    <sheetView showGridLines="0" workbookViewId="0" topLeftCell="A13">
      <selection activeCell="J25" sqref="J25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3.7109375" style="2" customWidth="1"/>
    <col min="6" max="6" width="10.14062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QUARTERLY FINANCIAL REPORT FOR THE YEAR ENDED 30 APRIL 2004</v>
      </c>
    </row>
    <row r="6" ht="5.25" customHeight="1"/>
    <row r="7" ht="15">
      <c r="A7" s="5" t="s">
        <v>86</v>
      </c>
    </row>
    <row r="8" ht="15">
      <c r="A8" s="5"/>
    </row>
    <row r="9" ht="15">
      <c r="A9" s="5"/>
    </row>
    <row r="10" spans="1:10" ht="15">
      <c r="A10" s="5"/>
      <c r="G10" s="101"/>
      <c r="H10" s="2"/>
      <c r="I10" s="191" t="s">
        <v>242</v>
      </c>
      <c r="J10" s="191"/>
    </row>
    <row r="11" spans="6:11" ht="15">
      <c r="F11" s="99" t="s">
        <v>71</v>
      </c>
      <c r="G11" s="99" t="s">
        <v>110</v>
      </c>
      <c r="H11" s="156" t="s">
        <v>202</v>
      </c>
      <c r="I11" s="99" t="s">
        <v>18</v>
      </c>
      <c r="J11" s="100"/>
      <c r="K11" s="99"/>
    </row>
    <row r="12" spans="6:11" ht="15">
      <c r="F12" s="99" t="s">
        <v>72</v>
      </c>
      <c r="G12" s="99" t="s">
        <v>111</v>
      </c>
      <c r="H12" s="156" t="s">
        <v>201</v>
      </c>
      <c r="I12" s="99" t="s">
        <v>21</v>
      </c>
      <c r="J12" s="99" t="s">
        <v>19</v>
      </c>
      <c r="K12" s="99" t="s">
        <v>20</v>
      </c>
    </row>
    <row r="13" spans="6:11" ht="15">
      <c r="F13" s="99" t="s">
        <v>1</v>
      </c>
      <c r="G13" s="99" t="s">
        <v>1</v>
      </c>
      <c r="H13" s="99" t="s">
        <v>1</v>
      </c>
      <c r="I13" s="99" t="s">
        <v>1</v>
      </c>
      <c r="J13" s="99" t="s">
        <v>1</v>
      </c>
      <c r="K13" s="99" t="s">
        <v>1</v>
      </c>
    </row>
    <row r="14" ht="15">
      <c r="F14" s="27"/>
    </row>
    <row r="15" spans="1:11" ht="15">
      <c r="A15" s="171" t="s">
        <v>279</v>
      </c>
      <c r="B15" s="140"/>
      <c r="F15" s="81">
        <v>801315</v>
      </c>
      <c r="G15" s="81">
        <v>-206089</v>
      </c>
      <c r="H15" s="81">
        <v>240702</v>
      </c>
      <c r="I15" s="81">
        <f>192817-35348+350</f>
        <v>157819</v>
      </c>
      <c r="J15" s="81">
        <v>580027</v>
      </c>
      <c r="K15" s="81">
        <f>SUM(F15:J15)</f>
        <v>1573774</v>
      </c>
    </row>
    <row r="16" spans="1:11" ht="15">
      <c r="A16" s="146" t="s">
        <v>346</v>
      </c>
      <c r="B16" s="140"/>
      <c r="F16" s="97">
        <v>0</v>
      </c>
      <c r="G16" s="97">
        <v>0</v>
      </c>
      <c r="H16" s="97">
        <v>0</v>
      </c>
      <c r="I16" s="97">
        <v>0</v>
      </c>
      <c r="J16" s="97">
        <v>-1152</v>
      </c>
      <c r="K16" s="97">
        <f>SUM(F16:J16)</f>
        <v>-1152</v>
      </c>
    </row>
    <row r="17" spans="1:11" ht="15">
      <c r="A17" s="140" t="s">
        <v>347</v>
      </c>
      <c r="B17" s="140"/>
      <c r="F17" s="81">
        <f aca="true" t="shared" si="0" ref="F17:K17">+F15+F16</f>
        <v>801315</v>
      </c>
      <c r="G17" s="81">
        <f t="shared" si="0"/>
        <v>-206089</v>
      </c>
      <c r="H17" s="81">
        <f t="shared" si="0"/>
        <v>240702</v>
      </c>
      <c r="I17" s="81">
        <f t="shared" si="0"/>
        <v>157819</v>
      </c>
      <c r="J17" s="81">
        <f t="shared" si="0"/>
        <v>578875</v>
      </c>
      <c r="K17" s="81">
        <f t="shared" si="0"/>
        <v>1572622</v>
      </c>
    </row>
    <row r="18" spans="1:11" ht="15">
      <c r="A18" s="146" t="s">
        <v>162</v>
      </c>
      <c r="B18" s="140"/>
      <c r="F18" s="81">
        <f>13321+222952</f>
        <v>236273</v>
      </c>
      <c r="G18" s="79">
        <v>0</v>
      </c>
      <c r="H18" s="53">
        <v>0</v>
      </c>
      <c r="I18" s="68">
        <f>24200+44590</f>
        <v>68790</v>
      </c>
      <c r="J18" s="39">
        <v>0</v>
      </c>
      <c r="K18" s="39">
        <f>SUM(F18:J18)</f>
        <v>305063</v>
      </c>
    </row>
    <row r="19" spans="1:8" ht="15">
      <c r="A19" s="146" t="s">
        <v>203</v>
      </c>
      <c r="B19" s="140"/>
      <c r="G19" s="2"/>
      <c r="H19" s="2"/>
    </row>
    <row r="20" spans="1:11" ht="15">
      <c r="A20" s="146"/>
      <c r="B20" s="146" t="s">
        <v>214</v>
      </c>
      <c r="F20" s="81">
        <v>0</v>
      </c>
      <c r="G20" s="79">
        <v>0</v>
      </c>
      <c r="H20" s="53">
        <f>-65979-41589</f>
        <v>-107568</v>
      </c>
      <c r="I20" s="68">
        <v>0</v>
      </c>
      <c r="J20" s="39">
        <v>0</v>
      </c>
      <c r="K20" s="39">
        <f>SUM(F20:J20)</f>
        <v>-107568</v>
      </c>
    </row>
    <row r="21" spans="1:11" ht="15">
      <c r="A21" s="4" t="s">
        <v>163</v>
      </c>
      <c r="B21" s="4"/>
      <c r="C21" s="4"/>
      <c r="D21" s="4"/>
      <c r="E21" s="4"/>
      <c r="F21" s="81">
        <v>0</v>
      </c>
      <c r="G21" s="81">
        <f>-Notes!J64</f>
        <v>-9169</v>
      </c>
      <c r="H21" s="53">
        <v>0</v>
      </c>
      <c r="I21" s="68">
        <v>0</v>
      </c>
      <c r="J21" s="68">
        <v>0</v>
      </c>
      <c r="K21" s="39">
        <f>SUM(F21:J21)</f>
        <v>-9169</v>
      </c>
    </row>
    <row r="22" spans="1:11" ht="15">
      <c r="A22" s="4" t="s">
        <v>164</v>
      </c>
      <c r="B22" s="4"/>
      <c r="C22" s="4"/>
      <c r="D22" s="4"/>
      <c r="E22" s="4"/>
      <c r="F22" s="81">
        <v>0</v>
      </c>
      <c r="G22" s="81">
        <v>0</v>
      </c>
      <c r="H22" s="53">
        <v>0</v>
      </c>
      <c r="I22" s="68">
        <v>-22007</v>
      </c>
      <c r="J22" s="68">
        <v>0</v>
      </c>
      <c r="K22" s="39">
        <f>SUM(F22:J22)</f>
        <v>-22007</v>
      </c>
    </row>
    <row r="23" spans="1:11" ht="15">
      <c r="A23" s="4" t="s">
        <v>152</v>
      </c>
      <c r="B23" s="4"/>
      <c r="C23" s="4"/>
      <c r="D23" s="4"/>
      <c r="E23" s="4"/>
      <c r="F23" s="81"/>
      <c r="G23" s="81"/>
      <c r="H23" s="53"/>
      <c r="I23" s="68"/>
      <c r="J23" s="68"/>
      <c r="K23" s="39"/>
    </row>
    <row r="24" spans="1:11" ht="15">
      <c r="A24" s="4"/>
      <c r="B24" s="4" t="s">
        <v>153</v>
      </c>
      <c r="C24" s="4"/>
      <c r="D24" s="4"/>
      <c r="E24" s="4"/>
      <c r="F24" s="81">
        <v>0</v>
      </c>
      <c r="G24" s="81">
        <v>0</v>
      </c>
      <c r="H24" s="53">
        <v>0</v>
      </c>
      <c r="I24" s="68">
        <f>-1013+2-2</f>
        <v>-1013</v>
      </c>
      <c r="J24" s="68">
        <v>0</v>
      </c>
      <c r="K24" s="39">
        <f>SUM(F24:J24)</f>
        <v>-1013</v>
      </c>
    </row>
    <row r="25" spans="1:11" ht="15">
      <c r="A25" s="4" t="s">
        <v>276</v>
      </c>
      <c r="B25" s="4"/>
      <c r="C25" s="4"/>
      <c r="D25" s="4"/>
      <c r="E25" s="4"/>
      <c r="F25" s="81">
        <v>0</v>
      </c>
      <c r="G25" s="81">
        <v>0</v>
      </c>
      <c r="H25" s="53">
        <v>0</v>
      </c>
      <c r="I25" s="68">
        <v>0</v>
      </c>
      <c r="J25" s="68">
        <f>-156221-49272-144070</f>
        <v>-349563</v>
      </c>
      <c r="K25" s="39">
        <f>SUM(F25:J25)</f>
        <v>-349563</v>
      </c>
    </row>
    <row r="26" spans="1:11" ht="15">
      <c r="A26" s="6" t="s">
        <v>309</v>
      </c>
      <c r="B26" s="6"/>
      <c r="C26" s="6"/>
      <c r="D26" s="6"/>
      <c r="E26" s="6"/>
      <c r="F26" s="97">
        <v>0</v>
      </c>
      <c r="G26" s="97">
        <v>0</v>
      </c>
      <c r="H26" s="154">
        <v>0</v>
      </c>
      <c r="I26" s="44">
        <v>0</v>
      </c>
      <c r="J26" s="44">
        <f>+PL!H29</f>
        <v>134042</v>
      </c>
      <c r="K26" s="44">
        <f>SUM(I26:J26)</f>
        <v>134042</v>
      </c>
    </row>
    <row r="27" spans="6:11" ht="3.75" customHeight="1">
      <c r="F27" s="27"/>
      <c r="H27" s="53"/>
      <c r="I27" s="39"/>
      <c r="J27" s="39"/>
      <c r="K27" s="39"/>
    </row>
    <row r="28" spans="1:11" ht="15">
      <c r="A28" s="190" t="s">
        <v>348</v>
      </c>
      <c r="B28" s="190"/>
      <c r="F28" s="39">
        <f aca="true" t="shared" si="1" ref="F28:K28">SUM(F17:F26)</f>
        <v>1037588</v>
      </c>
      <c r="G28" s="39">
        <f t="shared" si="1"/>
        <v>-215258</v>
      </c>
      <c r="H28" s="39">
        <f t="shared" si="1"/>
        <v>133134</v>
      </c>
      <c r="I28" s="39">
        <f t="shared" si="1"/>
        <v>203589</v>
      </c>
      <c r="J28" s="39">
        <f t="shared" si="1"/>
        <v>363354</v>
      </c>
      <c r="K28" s="39">
        <f t="shared" si="1"/>
        <v>1522407</v>
      </c>
    </row>
    <row r="29" spans="1:11" ht="4.5" customHeight="1">
      <c r="A29" s="6"/>
      <c r="B29" s="6"/>
      <c r="C29" s="6"/>
      <c r="D29" s="6"/>
      <c r="E29" s="6"/>
      <c r="F29" s="96"/>
      <c r="G29" s="96"/>
      <c r="H29" s="154"/>
      <c r="I29" s="44"/>
      <c r="J29" s="44"/>
      <c r="K29" s="44"/>
    </row>
    <row r="30" spans="6:11" ht="15">
      <c r="F30" s="27"/>
      <c r="H30" s="53"/>
      <c r="I30" s="39"/>
      <c r="J30" s="39"/>
      <c r="K30" s="39"/>
    </row>
    <row r="31" spans="1:11" ht="4.5" customHeight="1">
      <c r="A31" s="4"/>
      <c r="B31" s="4"/>
      <c r="C31" s="4"/>
      <c r="D31" s="4"/>
      <c r="E31" s="4"/>
      <c r="F31" s="4"/>
      <c r="G31" s="60"/>
      <c r="H31" s="53"/>
      <c r="I31" s="68"/>
      <c r="J31" s="68"/>
      <c r="K31" s="68"/>
    </row>
    <row r="32" spans="1:11" ht="16.5" customHeight="1">
      <c r="A32" s="4"/>
      <c r="B32" s="4"/>
      <c r="C32" s="4"/>
      <c r="D32" s="4"/>
      <c r="E32" s="4"/>
      <c r="F32" s="4"/>
      <c r="G32" s="60"/>
      <c r="H32" s="53"/>
      <c r="I32" s="68"/>
      <c r="J32" s="68"/>
      <c r="K32" s="68"/>
    </row>
    <row r="33" spans="1:11" ht="15" customHeight="1">
      <c r="A33" s="140" t="s">
        <v>277</v>
      </c>
      <c r="B33" s="140"/>
      <c r="C33" s="4"/>
      <c r="D33" s="4"/>
      <c r="E33" s="4"/>
      <c r="F33" s="68">
        <v>584878</v>
      </c>
      <c r="G33" s="159">
        <v>-162993</v>
      </c>
      <c r="H33" s="53">
        <v>0</v>
      </c>
      <c r="I33" s="68">
        <v>145410</v>
      </c>
      <c r="J33" s="68">
        <v>1122921</v>
      </c>
      <c r="K33" s="68">
        <f>SUM(F33:J33)</f>
        <v>1690216</v>
      </c>
    </row>
    <row r="34" spans="1:11" ht="15" customHeight="1">
      <c r="A34" s="146" t="s">
        <v>275</v>
      </c>
      <c r="B34" s="140"/>
      <c r="C34" s="4"/>
      <c r="D34" s="4"/>
      <c r="E34" s="4"/>
      <c r="F34" s="44">
        <v>0</v>
      </c>
      <c r="G34" s="154">
        <v>0</v>
      </c>
      <c r="H34" s="154">
        <v>0</v>
      </c>
      <c r="I34" s="44">
        <v>0</v>
      </c>
      <c r="J34" s="44">
        <v>100545</v>
      </c>
      <c r="K34" s="44">
        <f>SUM(F34:J34)</f>
        <v>100545</v>
      </c>
    </row>
    <row r="35" spans="1:11" ht="15">
      <c r="A35" s="140" t="s">
        <v>278</v>
      </c>
      <c r="B35" s="140"/>
      <c r="F35" s="39">
        <f aca="true" t="shared" si="2" ref="F35:K35">+F33+F34</f>
        <v>584878</v>
      </c>
      <c r="G35" s="39">
        <f t="shared" si="2"/>
        <v>-162993</v>
      </c>
      <c r="H35" s="39">
        <f t="shared" si="2"/>
        <v>0</v>
      </c>
      <c r="I35" s="39">
        <f t="shared" si="2"/>
        <v>145410</v>
      </c>
      <c r="J35" s="39">
        <f t="shared" si="2"/>
        <v>1223466</v>
      </c>
      <c r="K35" s="39">
        <f t="shared" si="2"/>
        <v>1790761</v>
      </c>
    </row>
    <row r="36" spans="1:11" ht="15">
      <c r="A36" s="146" t="s">
        <v>162</v>
      </c>
      <c r="B36" s="140"/>
      <c r="F36" s="39">
        <v>216437</v>
      </c>
      <c r="G36" s="39">
        <v>0</v>
      </c>
      <c r="H36" s="39">
        <v>0</v>
      </c>
      <c r="I36" s="39">
        <v>48637</v>
      </c>
      <c r="J36" s="76">
        <v>0</v>
      </c>
      <c r="K36" s="39">
        <f>SUM(F36:J36)</f>
        <v>265074</v>
      </c>
    </row>
    <row r="37" spans="1:11" ht="15">
      <c r="A37" s="4" t="s">
        <v>163</v>
      </c>
      <c r="B37" s="4"/>
      <c r="F37" s="39">
        <v>0</v>
      </c>
      <c r="G37" s="39">
        <v>-43096</v>
      </c>
      <c r="H37" s="39">
        <v>0</v>
      </c>
      <c r="I37" s="39">
        <v>0</v>
      </c>
      <c r="J37" s="76">
        <v>0</v>
      </c>
      <c r="K37" s="39">
        <f aca="true" t="shared" si="3" ref="K37:K44">SUM(F37:J37)</f>
        <v>-43096</v>
      </c>
    </row>
    <row r="38" spans="1:11" ht="15">
      <c r="A38" s="4" t="s">
        <v>203</v>
      </c>
      <c r="B38" s="4"/>
      <c r="F38" s="39">
        <v>0</v>
      </c>
      <c r="G38" s="39">
        <v>0</v>
      </c>
      <c r="H38" s="39">
        <v>240702</v>
      </c>
      <c r="I38" s="39">
        <v>0</v>
      </c>
      <c r="J38" s="76">
        <v>0</v>
      </c>
      <c r="K38" s="39">
        <f t="shared" si="3"/>
        <v>240702</v>
      </c>
    </row>
    <row r="39" spans="1:11" ht="15">
      <c r="A39" s="4" t="s">
        <v>164</v>
      </c>
      <c r="B39" s="4"/>
      <c r="F39" s="39">
        <v>0</v>
      </c>
      <c r="G39" s="39">
        <v>0</v>
      </c>
      <c r="H39" s="39">
        <v>0</v>
      </c>
      <c r="I39" s="39">
        <v>-35348</v>
      </c>
      <c r="J39" s="76">
        <v>0</v>
      </c>
      <c r="K39" s="39">
        <f t="shared" si="3"/>
        <v>-35348</v>
      </c>
    </row>
    <row r="40" spans="1:11" ht="15">
      <c r="A40" s="4" t="s">
        <v>152</v>
      </c>
      <c r="B40" s="4"/>
      <c r="F40" s="39"/>
      <c r="G40" s="39"/>
      <c r="H40" s="39"/>
      <c r="I40" s="39"/>
      <c r="J40" s="76"/>
      <c r="K40" s="39"/>
    </row>
    <row r="41" spans="1:11" ht="15">
      <c r="A41" s="4"/>
      <c r="B41" s="4" t="s">
        <v>153</v>
      </c>
      <c r="F41" s="39">
        <v>0</v>
      </c>
      <c r="G41" s="39">
        <v>0</v>
      </c>
      <c r="H41" s="39">
        <v>0</v>
      </c>
      <c r="I41" s="39">
        <v>-880</v>
      </c>
      <c r="J41" s="76">
        <v>0</v>
      </c>
      <c r="K41" s="39">
        <f t="shared" si="3"/>
        <v>-880</v>
      </c>
    </row>
    <row r="42" spans="1:11" ht="15">
      <c r="A42" s="4" t="s">
        <v>227</v>
      </c>
      <c r="B42" s="4"/>
      <c r="F42" s="39">
        <v>0</v>
      </c>
      <c r="G42" s="39">
        <v>0</v>
      </c>
      <c r="H42" s="39">
        <v>0</v>
      </c>
      <c r="I42" s="39">
        <v>0</v>
      </c>
      <c r="J42" s="76">
        <v>-751349</v>
      </c>
      <c r="K42" s="39">
        <f t="shared" si="3"/>
        <v>-751349</v>
      </c>
    </row>
    <row r="43" spans="1:11" ht="15">
      <c r="A43" s="4" t="s">
        <v>276</v>
      </c>
      <c r="B43" s="4"/>
      <c r="F43" s="39">
        <v>0</v>
      </c>
      <c r="G43" s="39">
        <v>0</v>
      </c>
      <c r="H43" s="39">
        <v>0</v>
      </c>
      <c r="I43" s="39">
        <v>0</v>
      </c>
      <c r="J43" s="76">
        <f>-902070+751349</f>
        <v>-150721</v>
      </c>
      <c r="K43" s="39">
        <f t="shared" si="3"/>
        <v>-150721</v>
      </c>
    </row>
    <row r="44" spans="1:11" ht="15">
      <c r="A44" s="6" t="s">
        <v>309</v>
      </c>
      <c r="B44" s="6"/>
      <c r="C44" s="6"/>
      <c r="D44" s="6"/>
      <c r="E44" s="6"/>
      <c r="F44" s="44">
        <v>0</v>
      </c>
      <c r="G44" s="44">
        <v>0</v>
      </c>
      <c r="H44" s="44">
        <v>0</v>
      </c>
      <c r="I44" s="44">
        <v>0</v>
      </c>
      <c r="J44" s="172">
        <f>+PL!I29</f>
        <v>257479</v>
      </c>
      <c r="K44" s="44">
        <f t="shared" si="3"/>
        <v>257479</v>
      </c>
    </row>
    <row r="45" spans="6:11" ht="4.5" customHeight="1">
      <c r="F45" s="39"/>
      <c r="G45" s="39"/>
      <c r="H45" s="39"/>
      <c r="I45" s="39"/>
      <c r="J45" s="76"/>
      <c r="K45" s="39"/>
    </row>
    <row r="46" spans="1:11" ht="15">
      <c r="A46" s="190" t="s">
        <v>349</v>
      </c>
      <c r="B46" s="190"/>
      <c r="F46" s="39">
        <f aca="true" t="shared" si="4" ref="F46:K46">SUM(F35:F44)</f>
        <v>801315</v>
      </c>
      <c r="G46" s="39">
        <f t="shared" si="4"/>
        <v>-206089</v>
      </c>
      <c r="H46" s="39">
        <f t="shared" si="4"/>
        <v>240702</v>
      </c>
      <c r="I46" s="39">
        <f t="shared" si="4"/>
        <v>157819</v>
      </c>
      <c r="J46" s="39">
        <f t="shared" si="4"/>
        <v>578875</v>
      </c>
      <c r="K46" s="39">
        <f t="shared" si="4"/>
        <v>1572622</v>
      </c>
    </row>
    <row r="47" spans="1:11" ht="5.25" customHeight="1">
      <c r="A47" s="6"/>
      <c r="B47" s="6"/>
      <c r="C47" s="6"/>
      <c r="D47" s="6"/>
      <c r="E47" s="6"/>
      <c r="F47" s="44"/>
      <c r="G47" s="44"/>
      <c r="H47" s="44"/>
      <c r="I47" s="44"/>
      <c r="J47" s="141"/>
      <c r="K47" s="44"/>
    </row>
    <row r="48" spans="6:11" ht="15">
      <c r="F48" s="39"/>
      <c r="G48" s="39"/>
      <c r="H48" s="39"/>
      <c r="I48" s="39"/>
      <c r="J48" s="76"/>
      <c r="K48" s="39"/>
    </row>
    <row r="49" spans="1:11" ht="15">
      <c r="A49" s="72" t="s">
        <v>280</v>
      </c>
      <c r="B49" s="2" t="s">
        <v>283</v>
      </c>
      <c r="F49" s="39"/>
      <c r="G49" s="39"/>
      <c r="H49" s="39"/>
      <c r="I49" s="39"/>
      <c r="J49" s="76"/>
      <c r="K49" s="39"/>
    </row>
    <row r="50" spans="2:11" ht="15">
      <c r="B50" s="2" t="s">
        <v>281</v>
      </c>
      <c r="F50" s="39"/>
      <c r="G50" s="39"/>
      <c r="H50" s="39"/>
      <c r="I50" s="39"/>
      <c r="J50" s="76"/>
      <c r="K50" s="39"/>
    </row>
    <row r="51" spans="2:11" ht="15">
      <c r="B51" s="2" t="s">
        <v>282</v>
      </c>
      <c r="F51" s="39"/>
      <c r="G51" s="39"/>
      <c r="H51" s="39"/>
      <c r="I51" s="39"/>
      <c r="J51" s="76"/>
      <c r="K51" s="39"/>
    </row>
    <row r="52" spans="6:11" ht="15">
      <c r="F52" s="39"/>
      <c r="G52" s="39"/>
      <c r="H52" s="39"/>
      <c r="I52" s="39"/>
      <c r="J52" s="76"/>
      <c r="K52" s="39"/>
    </row>
    <row r="53" spans="1:11" ht="15">
      <c r="A53" s="72" t="s">
        <v>365</v>
      </c>
      <c r="B53" s="2" t="s">
        <v>366</v>
      </c>
      <c r="F53" s="39"/>
      <c r="G53" s="39"/>
      <c r="H53" s="39"/>
      <c r="I53" s="39"/>
      <c r="J53" s="76"/>
      <c r="K53" s="39"/>
    </row>
    <row r="54" spans="2:11" ht="15">
      <c r="B54" s="2" t="s">
        <v>367</v>
      </c>
      <c r="F54" s="39"/>
      <c r="G54" s="53"/>
      <c r="H54" s="53"/>
      <c r="I54" s="39"/>
      <c r="J54" s="39"/>
      <c r="K54" s="39"/>
    </row>
    <row r="55" spans="6:11" ht="15.75" customHeight="1">
      <c r="F55" s="39"/>
      <c r="G55" s="53"/>
      <c r="H55" s="53"/>
      <c r="I55" s="39"/>
      <c r="J55" s="39"/>
      <c r="K55" s="39"/>
    </row>
    <row r="56" spans="1:11" ht="15">
      <c r="A56" s="5" t="s">
        <v>157</v>
      </c>
      <c r="F56" s="39"/>
      <c r="G56" s="53"/>
      <c r="H56" s="53"/>
      <c r="I56" s="39"/>
      <c r="J56" s="39"/>
      <c r="K56" s="39"/>
    </row>
    <row r="57" spans="6:11" ht="11.25" customHeight="1">
      <c r="F57" s="39"/>
      <c r="G57" s="53"/>
      <c r="H57" s="53"/>
      <c r="I57" s="39"/>
      <c r="J57" s="39"/>
      <c r="K57" s="39"/>
    </row>
    <row r="58" spans="6:11" ht="15">
      <c r="F58" s="39"/>
      <c r="G58" s="53"/>
      <c r="H58" s="53"/>
      <c r="I58" s="39"/>
      <c r="J58" s="39"/>
      <c r="K58" s="39"/>
    </row>
    <row r="59" spans="6:13" ht="15">
      <c r="F59" s="39"/>
      <c r="G59" s="53"/>
      <c r="H59" s="53"/>
      <c r="I59" s="39"/>
      <c r="J59" s="39"/>
      <c r="K59" s="53"/>
      <c r="L59" s="27"/>
      <c r="M59" s="27" t="s">
        <v>26</v>
      </c>
    </row>
    <row r="60" spans="6:11" ht="15">
      <c r="F60" s="39"/>
      <c r="G60" s="53"/>
      <c r="H60" s="53"/>
      <c r="I60" s="39"/>
      <c r="J60" s="39"/>
      <c r="K60" s="39"/>
    </row>
    <row r="61" spans="6:11" ht="15">
      <c r="F61" s="39"/>
      <c r="G61" s="53"/>
      <c r="H61" s="53"/>
      <c r="I61" s="39"/>
      <c r="J61" s="39"/>
      <c r="K61" s="39"/>
    </row>
    <row r="62" spans="6:11" ht="15">
      <c r="F62" s="39"/>
      <c r="G62" s="53"/>
      <c r="H62" s="53"/>
      <c r="I62" s="39"/>
      <c r="J62" s="39"/>
      <c r="K62" s="39"/>
    </row>
    <row r="63" spans="6:11" ht="15">
      <c r="F63" s="39"/>
      <c r="G63" s="53"/>
      <c r="H63" s="53"/>
      <c r="I63" s="39"/>
      <c r="J63" s="39"/>
      <c r="K63" s="39"/>
    </row>
    <row r="64" spans="6:11" ht="15">
      <c r="F64" s="39"/>
      <c r="G64" s="53"/>
      <c r="H64" s="53"/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  <row r="83" spans="9:11" ht="15">
      <c r="I83" s="39"/>
      <c r="J83" s="39"/>
      <c r="K83" s="39"/>
    </row>
    <row r="84" spans="9:11" ht="15">
      <c r="I84" s="39"/>
      <c r="J84" s="39"/>
      <c r="K84" s="39"/>
    </row>
    <row r="85" spans="9:11" ht="15">
      <c r="I85" s="39"/>
      <c r="J85" s="39"/>
      <c r="K85" s="39"/>
    </row>
    <row r="86" spans="9:11" ht="15">
      <c r="I86" s="39"/>
      <c r="J86" s="39"/>
      <c r="K86" s="39"/>
    </row>
    <row r="87" spans="9:11" ht="15">
      <c r="I87" s="39"/>
      <c r="J87" s="39"/>
      <c r="K87" s="39"/>
    </row>
    <row r="88" spans="9:11" ht="15">
      <c r="I88" s="39"/>
      <c r="J88" s="39"/>
      <c r="K88" s="39"/>
    </row>
    <row r="89" spans="9:11" ht="15">
      <c r="I89" s="39"/>
      <c r="J89" s="39"/>
      <c r="K89" s="39"/>
    </row>
  </sheetData>
  <mergeCells count="3">
    <mergeCell ref="A28:B28"/>
    <mergeCell ref="A46:B46"/>
    <mergeCell ref="I10:J10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30-4-2004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1"/>
  <sheetViews>
    <sheetView showGridLines="0" workbookViewId="0" topLeftCell="A30">
      <selection activeCell="B42" sqref="B42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71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QUARTERLY FINANCIAL REPORT FOR THE YEAR ENDED 30 APRIL 2004</v>
      </c>
    </row>
    <row r="5" spans="1:10" s="4" customFormat="1" ht="15.75" thickBot="1">
      <c r="A5" s="152" t="s">
        <v>85</v>
      </c>
      <c r="B5" s="10"/>
      <c r="C5" s="10"/>
      <c r="D5" s="10"/>
      <c r="E5" s="10"/>
      <c r="F5" s="10"/>
      <c r="G5" s="10"/>
      <c r="H5" s="10"/>
      <c r="I5" s="10"/>
      <c r="J5" s="153"/>
    </row>
    <row r="6" spans="1:10" ht="15">
      <c r="A6" s="4"/>
      <c r="B6" s="4"/>
      <c r="C6" s="4"/>
      <c r="D6" s="4"/>
      <c r="E6" s="4"/>
      <c r="F6" s="4"/>
      <c r="G6" s="4"/>
      <c r="H6" s="12" t="s">
        <v>284</v>
      </c>
      <c r="I6" s="12"/>
      <c r="J6" s="12" t="s">
        <v>284</v>
      </c>
    </row>
    <row r="7" spans="1:10" ht="15">
      <c r="A7" s="4"/>
      <c r="B7" s="4"/>
      <c r="C7" s="4"/>
      <c r="D7" s="4"/>
      <c r="E7" s="4"/>
      <c r="F7" s="4"/>
      <c r="G7" s="4"/>
      <c r="H7" s="184" t="str">
        <f>+PL!H10</f>
        <v>30-4-2004</v>
      </c>
      <c r="I7" s="12"/>
      <c r="J7" s="12" t="str">
        <f>+PL!I10</f>
        <v>30-4-2003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1</v>
      </c>
      <c r="I8" s="1"/>
      <c r="J8" s="1" t="s">
        <v>1</v>
      </c>
    </row>
    <row r="9" spans="8:10" ht="1.5" customHeight="1">
      <c r="H9" s="92"/>
      <c r="I9" s="92"/>
      <c r="J9" s="92"/>
    </row>
    <row r="10" spans="1:10" ht="15">
      <c r="A10" s="5" t="s">
        <v>170</v>
      </c>
      <c r="H10" s="92"/>
      <c r="I10" s="92"/>
      <c r="J10" s="92"/>
    </row>
    <row r="11" spans="1:10" ht="15">
      <c r="A11" s="2" t="s">
        <v>177</v>
      </c>
      <c r="H11" s="92">
        <v>2743088</v>
      </c>
      <c r="I11" s="92"/>
      <c r="J11" s="92">
        <v>2340010</v>
      </c>
    </row>
    <row r="12" spans="1:10" ht="15">
      <c r="A12" s="2" t="s">
        <v>196</v>
      </c>
      <c r="H12" s="92"/>
      <c r="I12" s="92"/>
      <c r="J12" s="92"/>
    </row>
    <row r="13" spans="2:10" ht="15">
      <c r="B13" s="2" t="s">
        <v>195</v>
      </c>
      <c r="H13" s="92">
        <f>-440627-1749655-141844-128662+16966</f>
        <v>-2443822</v>
      </c>
      <c r="I13" s="92"/>
      <c r="J13" s="92">
        <v>-2201426</v>
      </c>
    </row>
    <row r="14" spans="1:10" ht="15">
      <c r="A14" s="2" t="s">
        <v>171</v>
      </c>
      <c r="H14" s="92">
        <v>187</v>
      </c>
      <c r="I14" s="92"/>
      <c r="J14" s="92">
        <v>131</v>
      </c>
    </row>
    <row r="15" spans="1:10" ht="15">
      <c r="A15" s="5" t="s">
        <v>96</v>
      </c>
      <c r="B15" s="5"/>
      <c r="C15" s="5"/>
      <c r="D15" s="5"/>
      <c r="E15" s="5"/>
      <c r="F15" s="5"/>
      <c r="G15" s="5"/>
      <c r="H15" s="149">
        <f>SUM(H11:H14)</f>
        <v>299453</v>
      </c>
      <c r="I15" s="150"/>
      <c r="J15" s="149">
        <f>SUM(J11:J14)</f>
        <v>138715</v>
      </c>
    </row>
    <row r="16" spans="1:10" ht="3" customHeight="1">
      <c r="A16" s="5"/>
      <c r="B16" s="5"/>
      <c r="C16" s="5"/>
      <c r="D16" s="5"/>
      <c r="E16" s="5"/>
      <c r="F16" s="5"/>
      <c r="G16" s="5"/>
      <c r="H16" s="92"/>
      <c r="I16" s="92"/>
      <c r="J16" s="92"/>
    </row>
    <row r="17" spans="1:10" ht="15">
      <c r="A17" s="5" t="s">
        <v>172</v>
      </c>
      <c r="B17" s="5"/>
      <c r="C17" s="5"/>
      <c r="D17" s="5"/>
      <c r="E17" s="5"/>
      <c r="F17" s="5"/>
      <c r="G17" s="5"/>
      <c r="H17" s="92"/>
      <c r="I17" s="92"/>
      <c r="J17" s="92"/>
    </row>
    <row r="18" spans="1:10" ht="15">
      <c r="A18" s="2" t="s">
        <v>178</v>
      </c>
      <c r="B18" s="5"/>
      <c r="C18" s="5"/>
      <c r="D18" s="5"/>
      <c r="E18" s="5"/>
      <c r="F18" s="5"/>
      <c r="G18" s="5"/>
      <c r="H18" s="92">
        <f>831+1296</f>
        <v>2127</v>
      </c>
      <c r="I18" s="92"/>
      <c r="J18" s="92">
        <v>5189</v>
      </c>
    </row>
    <row r="19" spans="1:10" ht="15">
      <c r="A19" s="2" t="s">
        <v>179</v>
      </c>
      <c r="B19" s="5"/>
      <c r="C19" s="5"/>
      <c r="D19" s="5"/>
      <c r="E19" s="5"/>
      <c r="F19" s="5"/>
      <c r="G19" s="5"/>
      <c r="H19" s="92">
        <v>-30391</v>
      </c>
      <c r="I19" s="92"/>
      <c r="J19" s="92">
        <v>-61061</v>
      </c>
    </row>
    <row r="20" spans="1:10" ht="15">
      <c r="A20" s="2" t="s">
        <v>241</v>
      </c>
      <c r="B20" s="5"/>
      <c r="C20" s="5"/>
      <c r="D20" s="5"/>
      <c r="E20" s="5"/>
      <c r="F20" s="5"/>
      <c r="G20" s="5"/>
      <c r="H20" s="92">
        <v>-5500</v>
      </c>
      <c r="I20" s="92"/>
      <c r="J20" s="92">
        <v>0</v>
      </c>
    </row>
    <row r="21" spans="1:10" ht="15">
      <c r="A21" s="2" t="s">
        <v>173</v>
      </c>
      <c r="B21" s="5"/>
      <c r="C21" s="5"/>
      <c r="D21" s="5"/>
      <c r="E21" s="5"/>
      <c r="F21" s="5"/>
      <c r="G21" s="5"/>
      <c r="H21" s="92">
        <f>-5301-35880</f>
        <v>-41181</v>
      </c>
      <c r="I21" s="92"/>
      <c r="J21" s="92">
        <v>-12488</v>
      </c>
    </row>
    <row r="22" spans="1:10" ht="15">
      <c r="A22" s="2" t="s">
        <v>248</v>
      </c>
      <c r="B22" s="5"/>
      <c r="C22" s="5"/>
      <c r="D22" s="5"/>
      <c r="E22" s="5"/>
      <c r="F22" s="5"/>
      <c r="G22" s="5"/>
      <c r="H22" s="92">
        <f>-53681+30391</f>
        <v>-23290</v>
      </c>
      <c r="I22" s="92"/>
      <c r="J22" s="92">
        <v>-6222</v>
      </c>
    </row>
    <row r="23" spans="1:10" ht="15">
      <c r="A23" s="2" t="s">
        <v>181</v>
      </c>
      <c r="B23" s="5"/>
      <c r="C23" s="5"/>
      <c r="D23" s="5"/>
      <c r="E23" s="5"/>
      <c r="F23" s="5"/>
      <c r="G23" s="5"/>
      <c r="H23" s="92">
        <v>200790</v>
      </c>
      <c r="I23" s="92"/>
      <c r="J23" s="92">
        <v>121932</v>
      </c>
    </row>
    <row r="24" spans="1:10" ht="15">
      <c r="A24" s="2" t="s">
        <v>243</v>
      </c>
      <c r="B24" s="5"/>
      <c r="C24" s="5"/>
      <c r="D24" s="5"/>
      <c r="E24" s="5"/>
      <c r="F24" s="5"/>
      <c r="G24" s="5"/>
      <c r="H24" s="92">
        <v>-1149</v>
      </c>
      <c r="I24" s="92"/>
      <c r="J24" s="92">
        <v>-992</v>
      </c>
    </row>
    <row r="25" spans="1:10" ht="15">
      <c r="A25" s="2" t="s">
        <v>182</v>
      </c>
      <c r="B25" s="5"/>
      <c r="C25" s="5"/>
      <c r="D25" s="5"/>
      <c r="E25" s="5"/>
      <c r="F25" s="5"/>
      <c r="G25" s="5"/>
      <c r="H25" s="92">
        <f>23338-16966+672</f>
        <v>7044</v>
      </c>
      <c r="I25" s="92"/>
      <c r="J25" s="92">
        <v>4049</v>
      </c>
    </row>
    <row r="26" spans="1:10" ht="15">
      <c r="A26" s="5" t="s">
        <v>265</v>
      </c>
      <c r="B26" s="5"/>
      <c r="C26" s="5"/>
      <c r="D26" s="5"/>
      <c r="E26" s="5"/>
      <c r="F26" s="5"/>
      <c r="G26" s="5"/>
      <c r="H26" s="149">
        <f>SUM(H18:H25)</f>
        <v>108450</v>
      </c>
      <c r="I26" s="150"/>
      <c r="J26" s="149">
        <f>SUM(J18:J25)</f>
        <v>50407</v>
      </c>
    </row>
    <row r="27" spans="1:10" ht="3.75" customHeight="1">
      <c r="A27" s="5"/>
      <c r="B27" s="5"/>
      <c r="C27" s="5"/>
      <c r="D27" s="5"/>
      <c r="E27" s="5"/>
      <c r="F27" s="5"/>
      <c r="G27" s="5"/>
      <c r="H27" s="150"/>
      <c r="I27" s="150"/>
      <c r="J27" s="150"/>
    </row>
    <row r="28" spans="1:10" ht="15">
      <c r="A28" s="5" t="s">
        <v>174</v>
      </c>
      <c r="B28" s="5"/>
      <c r="C28" s="5"/>
      <c r="D28" s="5"/>
      <c r="E28" s="5"/>
      <c r="F28" s="5"/>
      <c r="G28" s="5"/>
      <c r="H28" s="150"/>
      <c r="I28" s="150"/>
      <c r="J28" s="150"/>
    </row>
    <row r="29" spans="1:10" ht="15">
      <c r="A29" s="2" t="s">
        <v>175</v>
      </c>
      <c r="B29" s="5"/>
      <c r="C29" s="5"/>
      <c r="D29" s="5"/>
      <c r="E29" s="5"/>
      <c r="F29" s="5"/>
      <c r="G29" s="5"/>
      <c r="H29" s="150">
        <v>84032</v>
      </c>
      <c r="I29" s="150"/>
      <c r="J29" s="150">
        <v>40884</v>
      </c>
    </row>
    <row r="30" spans="1:10" ht="15">
      <c r="A30" s="2" t="s">
        <v>228</v>
      </c>
      <c r="B30" s="5"/>
      <c r="C30" s="5"/>
      <c r="D30" s="5"/>
      <c r="E30" s="5"/>
      <c r="F30" s="5"/>
      <c r="G30" s="5"/>
      <c r="H30" s="150">
        <v>0</v>
      </c>
      <c r="I30" s="150"/>
      <c r="J30" s="150">
        <v>65767</v>
      </c>
    </row>
    <row r="31" spans="1:10" ht="15">
      <c r="A31" s="2" t="s">
        <v>286</v>
      </c>
      <c r="B31" s="5"/>
      <c r="C31" s="5"/>
      <c r="D31" s="5"/>
      <c r="E31" s="5"/>
      <c r="F31" s="5"/>
      <c r="G31" s="5"/>
      <c r="H31" s="150">
        <v>0</v>
      </c>
      <c r="I31" s="150"/>
      <c r="J31" s="150">
        <v>5700</v>
      </c>
    </row>
    <row r="32" spans="1:10" ht="15">
      <c r="A32" s="2" t="s">
        <v>350</v>
      </c>
      <c r="B32" s="5"/>
      <c r="C32" s="5"/>
      <c r="D32" s="5"/>
      <c r="E32" s="5"/>
      <c r="F32" s="5"/>
      <c r="G32" s="5"/>
      <c r="H32" s="150">
        <v>-6764</v>
      </c>
      <c r="I32" s="150"/>
      <c r="J32" s="150">
        <f>-7-1064</f>
        <v>-1071</v>
      </c>
    </row>
    <row r="33" spans="1:10" ht="15">
      <c r="A33" s="2" t="s">
        <v>351</v>
      </c>
      <c r="B33" s="5"/>
      <c r="C33" s="5"/>
      <c r="D33" s="5"/>
      <c r="E33" s="5"/>
      <c r="F33" s="5"/>
      <c r="G33" s="5"/>
      <c r="H33" s="150">
        <v>-9169</v>
      </c>
      <c r="I33" s="150"/>
      <c r="J33" s="150">
        <v>-43096</v>
      </c>
    </row>
    <row r="34" spans="1:10" ht="15">
      <c r="A34" s="2" t="s">
        <v>180</v>
      </c>
      <c r="B34" s="5"/>
      <c r="C34" s="5"/>
      <c r="D34" s="5"/>
      <c r="E34" s="5"/>
      <c r="F34" s="5"/>
      <c r="G34" s="5"/>
      <c r="H34" s="150">
        <v>-235072</v>
      </c>
      <c r="I34" s="150"/>
      <c r="J34" s="150">
        <v>-247366</v>
      </c>
    </row>
    <row r="35" spans="1:10" ht="15">
      <c r="A35" s="2" t="s">
        <v>197</v>
      </c>
      <c r="B35" s="5"/>
      <c r="C35" s="5"/>
      <c r="D35" s="5"/>
      <c r="E35" s="5"/>
      <c r="F35" s="5"/>
      <c r="G35" s="5"/>
      <c r="H35" s="150">
        <v>-37864</v>
      </c>
      <c r="I35" s="150"/>
      <c r="J35" s="150">
        <v>-24267</v>
      </c>
    </row>
    <row r="36" spans="1:10" ht="15">
      <c r="A36" s="2" t="s">
        <v>176</v>
      </c>
      <c r="B36" s="5"/>
      <c r="C36" s="5"/>
      <c r="D36" s="5"/>
      <c r="E36" s="5"/>
      <c r="F36" s="5"/>
      <c r="G36" s="5"/>
      <c r="H36" s="150">
        <f>-262</f>
        <v>-262</v>
      </c>
      <c r="I36" s="150"/>
      <c r="J36" s="150">
        <v>-332</v>
      </c>
    </row>
    <row r="37" spans="1:10" ht="15">
      <c r="A37" s="8" t="s">
        <v>97</v>
      </c>
      <c r="B37" s="5"/>
      <c r="C37" s="5"/>
      <c r="D37" s="5"/>
      <c r="E37" s="5"/>
      <c r="F37" s="5"/>
      <c r="G37" s="5"/>
      <c r="H37" s="149">
        <f>SUM(H29:H36)</f>
        <v>-205099</v>
      </c>
      <c r="I37" s="150"/>
      <c r="J37" s="149">
        <f>SUM(J29:J36)</f>
        <v>-203781</v>
      </c>
    </row>
    <row r="38" spans="1:10" ht="3" customHeight="1">
      <c r="A38" s="73"/>
      <c r="B38" s="73"/>
      <c r="C38" s="73"/>
      <c r="D38" s="73"/>
      <c r="E38" s="73"/>
      <c r="F38" s="73"/>
      <c r="G38" s="73"/>
      <c r="H38" s="93"/>
      <c r="I38" s="93"/>
      <c r="J38" s="93"/>
    </row>
    <row r="39" spans="1:10" ht="15">
      <c r="A39" s="2" t="s">
        <v>448</v>
      </c>
      <c r="H39" s="92">
        <f>+H37+H26+H15</f>
        <v>202804</v>
      </c>
      <c r="I39" s="92"/>
      <c r="J39" s="92">
        <f>+J37+J26+J15</f>
        <v>-14659</v>
      </c>
    </row>
    <row r="40" spans="4:11" ht="3" customHeight="1">
      <c r="D40" s="108"/>
      <c r="H40" s="92"/>
      <c r="I40" s="92"/>
      <c r="J40" s="92"/>
      <c r="K40" s="107"/>
    </row>
    <row r="41" spans="1:10" ht="15">
      <c r="A41" s="108" t="s">
        <v>352</v>
      </c>
      <c r="H41" s="92">
        <v>141146</v>
      </c>
      <c r="I41" s="92"/>
      <c r="J41" s="92">
        <v>155899</v>
      </c>
    </row>
    <row r="42" spans="1:10" ht="15">
      <c r="A42" s="151" t="s">
        <v>112</v>
      </c>
      <c r="B42" s="6"/>
      <c r="C42" s="6"/>
      <c r="D42" s="6"/>
      <c r="E42" s="6"/>
      <c r="F42" s="6"/>
      <c r="G42" s="6"/>
      <c r="H42" s="93">
        <v>-578</v>
      </c>
      <c r="I42" s="93"/>
      <c r="J42" s="93">
        <v>-94</v>
      </c>
    </row>
    <row r="43" spans="1:10" ht="15.75" thickBot="1">
      <c r="A43" s="112" t="s">
        <v>409</v>
      </c>
      <c r="B43" s="10"/>
      <c r="C43" s="10"/>
      <c r="D43" s="10"/>
      <c r="E43" s="10"/>
      <c r="F43" s="10"/>
      <c r="G43" s="10"/>
      <c r="H43" s="94">
        <f>SUM(H39:H42)</f>
        <v>343372</v>
      </c>
      <c r="I43" s="94"/>
      <c r="J43" s="94">
        <f>SUM(J39:J42)</f>
        <v>141146</v>
      </c>
    </row>
    <row r="44" spans="8:10" ht="4.5" customHeight="1">
      <c r="H44" s="92"/>
      <c r="I44" s="92"/>
      <c r="J44" s="92"/>
    </row>
    <row r="45" spans="8:10" ht="15">
      <c r="H45" s="12" t="str">
        <f>+H6</f>
        <v>12-month ended</v>
      </c>
      <c r="I45" s="12"/>
      <c r="J45" s="12" t="str">
        <f>+J6</f>
        <v>12-month ended</v>
      </c>
    </row>
    <row r="46" spans="8:10" ht="15">
      <c r="H46" s="12" t="str">
        <f>+H7</f>
        <v>30-4-2004</v>
      </c>
      <c r="I46" s="12"/>
      <c r="J46" s="12" t="str">
        <f>+J7</f>
        <v>30-4-2003</v>
      </c>
    </row>
    <row r="47" spans="8:10" ht="15.75" thickBot="1">
      <c r="H47" s="1" t="s">
        <v>1</v>
      </c>
      <c r="I47" s="1"/>
      <c r="J47" s="1" t="s">
        <v>1</v>
      </c>
    </row>
    <row r="48" spans="1:9" ht="15">
      <c r="A48" s="2" t="s">
        <v>113</v>
      </c>
      <c r="H48" s="71"/>
      <c r="I48" s="71"/>
    </row>
    <row r="49" spans="1:8" ht="15">
      <c r="A49" s="2" t="s">
        <v>226</v>
      </c>
      <c r="H49" s="71"/>
    </row>
    <row r="50" spans="2:10" ht="15">
      <c r="B50" s="2" t="s">
        <v>93</v>
      </c>
      <c r="H50" s="76">
        <v>77971</v>
      </c>
      <c r="I50" s="76"/>
      <c r="J50" s="76">
        <v>49756</v>
      </c>
    </row>
    <row r="51" spans="2:10" ht="15">
      <c r="B51" s="2" t="s">
        <v>105</v>
      </c>
      <c r="H51" s="76">
        <v>265401</v>
      </c>
      <c r="I51" s="76"/>
      <c r="J51" s="76">
        <v>91390</v>
      </c>
    </row>
    <row r="52" spans="8:10" ht="15.75" thickBot="1">
      <c r="H52" s="117">
        <f>+H50+H51</f>
        <v>343372</v>
      </c>
      <c r="I52" s="117"/>
      <c r="J52" s="117">
        <f>+J50+J51</f>
        <v>141146</v>
      </c>
    </row>
    <row r="53" spans="8:10" ht="3" customHeight="1" thickTop="1">
      <c r="H53" s="76"/>
      <c r="J53" s="76"/>
    </row>
    <row r="54" spans="8:10" ht="15">
      <c r="H54" s="76"/>
      <c r="J54" s="76"/>
    </row>
    <row r="55" ht="15">
      <c r="J55" s="76"/>
    </row>
    <row r="56" ht="15">
      <c r="J56" s="76"/>
    </row>
    <row r="57" ht="3" customHeight="1">
      <c r="J57" s="76"/>
    </row>
    <row r="58" ht="1.5" customHeight="1" hidden="1">
      <c r="J58" s="76"/>
    </row>
    <row r="59" ht="0.75" customHeight="1" hidden="1">
      <c r="J59" s="76"/>
    </row>
    <row r="60" ht="1.5" customHeight="1" hidden="1">
      <c r="J60" s="76"/>
    </row>
    <row r="61" spans="1:10" ht="15">
      <c r="A61" s="5" t="s">
        <v>157</v>
      </c>
      <c r="J61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30-4-2004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21"/>
  <sheetViews>
    <sheetView showGridLines="0" workbookViewId="0" topLeftCell="A136">
      <selection activeCell="B8" sqref="B8"/>
    </sheetView>
  </sheetViews>
  <sheetFormatPr defaultColWidth="9.140625" defaultRowHeight="12.75"/>
  <cols>
    <col min="1" max="1" width="4.57421875" style="56" customWidth="1"/>
    <col min="2" max="2" width="4.28125" style="56" customWidth="1"/>
    <col min="3" max="3" width="8.421875" style="39" customWidth="1"/>
    <col min="4" max="4" width="9.00390625" style="39" customWidth="1"/>
    <col min="5" max="6" width="9.421875" style="39" customWidth="1"/>
    <col min="7" max="7" width="8.57421875" style="39" customWidth="1"/>
    <col min="8" max="8" width="11.003906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6.00390625" style="39" hidden="1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8.2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7.5" customHeight="1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QUARTERLY FINANCIAL REPORT FOR THE YEAR ENDED 30 APRIL 2004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4" ht="14.25" customHeight="1">
      <c r="A5" s="54" t="s">
        <v>22</v>
      </c>
      <c r="C5" s="56"/>
      <c r="D5" s="56"/>
    </row>
    <row r="6" spans="1:4" ht="10.5" customHeight="1">
      <c r="A6" s="54"/>
      <c r="C6" s="56"/>
      <c r="D6" s="56"/>
    </row>
    <row r="7" spans="1:4" ht="15">
      <c r="A7" s="56" t="s">
        <v>33</v>
      </c>
      <c r="B7" s="56" t="s">
        <v>353</v>
      </c>
      <c r="C7" s="56"/>
      <c r="D7" s="56"/>
    </row>
    <row r="8" ht="15">
      <c r="B8" s="56" t="s">
        <v>424</v>
      </c>
    </row>
    <row r="9" spans="3:4" ht="12" customHeight="1">
      <c r="C9" s="56"/>
      <c r="D9" s="56"/>
    </row>
    <row r="10" spans="2:4" ht="15">
      <c r="B10" s="56" t="s">
        <v>354</v>
      </c>
      <c r="C10" s="56"/>
      <c r="D10" s="56"/>
    </row>
    <row r="11" ht="15">
      <c r="B11" s="56" t="s">
        <v>215</v>
      </c>
    </row>
    <row r="12" spans="3:4" ht="12" customHeight="1">
      <c r="C12" s="56"/>
      <c r="D12" s="56"/>
    </row>
    <row r="13" spans="2:4" ht="15">
      <c r="B13" s="170" t="s">
        <v>31</v>
      </c>
      <c r="C13" s="56"/>
      <c r="D13" s="56"/>
    </row>
    <row r="14" spans="2:3" ht="15">
      <c r="B14" s="56" t="s">
        <v>207</v>
      </c>
      <c r="C14" s="56"/>
    </row>
    <row r="15" spans="2:4" ht="15">
      <c r="B15" s="56" t="s">
        <v>399</v>
      </c>
      <c r="C15" s="56"/>
      <c r="D15" s="56"/>
    </row>
    <row r="16" spans="2:4" ht="15">
      <c r="B16" s="56" t="s">
        <v>400</v>
      </c>
      <c r="C16" s="56"/>
      <c r="D16" s="56"/>
    </row>
    <row r="17" spans="2:4" ht="15">
      <c r="B17" s="56" t="s">
        <v>401</v>
      </c>
      <c r="C17" s="56"/>
      <c r="D17" s="56"/>
    </row>
    <row r="18" spans="2:4" ht="15">
      <c r="B18" s="56" t="s">
        <v>402</v>
      </c>
      <c r="C18" s="56"/>
      <c r="D18" s="56"/>
    </row>
    <row r="19" ht="15">
      <c r="D19" s="56"/>
    </row>
    <row r="20" spans="1:4" ht="15">
      <c r="A20" s="56" t="s">
        <v>34</v>
      </c>
      <c r="B20" s="56" t="s">
        <v>216</v>
      </c>
      <c r="C20" s="56"/>
      <c r="D20" s="56"/>
    </row>
    <row r="21" spans="2:4" ht="15">
      <c r="B21" s="56" t="s">
        <v>30</v>
      </c>
      <c r="C21" s="56"/>
      <c r="D21" s="56"/>
    </row>
    <row r="23" spans="1:4" ht="15">
      <c r="A23" s="56" t="s">
        <v>35</v>
      </c>
      <c r="B23" s="56" t="s">
        <v>95</v>
      </c>
      <c r="C23" s="56"/>
      <c r="D23" s="56"/>
    </row>
    <row r="24" ht="15">
      <c r="B24" s="56" t="s">
        <v>158</v>
      </c>
    </row>
    <row r="26" spans="1:4" ht="15">
      <c r="A26" s="56" t="s">
        <v>36</v>
      </c>
      <c r="B26" s="56" t="s">
        <v>355</v>
      </c>
      <c r="C26" s="56"/>
      <c r="D26" s="56"/>
    </row>
    <row r="27" spans="2:3" ht="15">
      <c r="B27" s="56" t="s">
        <v>356</v>
      </c>
      <c r="C27" s="57"/>
    </row>
    <row r="28" spans="2:3" ht="15">
      <c r="B28" s="170" t="s">
        <v>411</v>
      </c>
      <c r="C28" s="57"/>
    </row>
    <row r="29" spans="2:3" ht="15">
      <c r="B29" s="170" t="s">
        <v>410</v>
      </c>
      <c r="C29" s="57"/>
    </row>
    <row r="30" ht="11.25" customHeight="1">
      <c r="C30" s="57"/>
    </row>
    <row r="31" spans="2:3" ht="15">
      <c r="B31" s="56" t="s">
        <v>229</v>
      </c>
      <c r="C31" s="57"/>
    </row>
    <row r="32" spans="2:3" ht="15">
      <c r="B32" s="56" t="s">
        <v>230</v>
      </c>
      <c r="C32" s="57"/>
    </row>
    <row r="33" ht="15">
      <c r="C33" s="57"/>
    </row>
    <row r="34" spans="1:3" ht="15">
      <c r="A34" s="56" t="s">
        <v>37</v>
      </c>
      <c r="B34" s="56" t="s">
        <v>310</v>
      </c>
      <c r="C34" s="57"/>
    </row>
    <row r="35" ht="15">
      <c r="B35" s="56" t="s">
        <v>249</v>
      </c>
    </row>
    <row r="36" spans="2:4" ht="15">
      <c r="B36" s="56" t="s">
        <v>311</v>
      </c>
      <c r="C36" s="58"/>
      <c r="D36" s="58"/>
    </row>
    <row r="37" spans="2:4" ht="15">
      <c r="B37" s="56" t="s">
        <v>250</v>
      </c>
      <c r="C37" s="58"/>
      <c r="D37" s="58"/>
    </row>
    <row r="38" spans="2:4" ht="15">
      <c r="B38" s="56" t="s">
        <v>312</v>
      </c>
      <c r="C38" s="58"/>
      <c r="D38" s="58"/>
    </row>
    <row r="39" spans="3:4" ht="12" customHeight="1">
      <c r="C39" s="58"/>
      <c r="D39" s="58"/>
    </row>
    <row r="40" spans="2:4" ht="15">
      <c r="B40" s="56" t="s">
        <v>313</v>
      </c>
      <c r="C40" s="58"/>
      <c r="D40" s="58"/>
    </row>
    <row r="41" ht="15">
      <c r="B41" s="56" t="s">
        <v>314</v>
      </c>
    </row>
    <row r="42" ht="15">
      <c r="B42" s="56" t="s">
        <v>166</v>
      </c>
    </row>
    <row r="43" ht="15">
      <c r="B43" s="56" t="s">
        <v>315</v>
      </c>
    </row>
    <row r="44" ht="15">
      <c r="B44" s="56" t="s">
        <v>251</v>
      </c>
    </row>
    <row r="45" ht="12" customHeight="1"/>
    <row r="46" ht="15">
      <c r="B46" s="56" t="s">
        <v>316</v>
      </c>
    </row>
    <row r="47" ht="15">
      <c r="B47" s="56" t="s">
        <v>317</v>
      </c>
    </row>
    <row r="48" ht="15">
      <c r="B48" s="56" t="s">
        <v>318</v>
      </c>
    </row>
    <row r="49" ht="15">
      <c r="B49" s="56" t="s">
        <v>319</v>
      </c>
    </row>
    <row r="50" ht="15">
      <c r="B50" s="56" t="s">
        <v>320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3.75" customHeight="1"/>
    <row r="58" spans="1:2" ht="15">
      <c r="A58" s="56" t="s">
        <v>37</v>
      </c>
      <c r="B58" s="56" t="s">
        <v>114</v>
      </c>
    </row>
    <row r="59" ht="6" customHeight="1"/>
    <row r="60" spans="2:10" ht="15">
      <c r="B60" s="119"/>
      <c r="C60" s="120"/>
      <c r="D60" s="197" t="s">
        <v>116</v>
      </c>
      <c r="E60" s="198"/>
      <c r="F60" s="198"/>
      <c r="G60" s="130"/>
      <c r="H60" s="131"/>
      <c r="I60" s="192" t="s">
        <v>121</v>
      </c>
      <c r="J60" s="193"/>
    </row>
    <row r="61" spans="2:10" ht="15">
      <c r="B61" s="125" t="s">
        <v>115</v>
      </c>
      <c r="C61" s="44"/>
      <c r="D61" s="126" t="s">
        <v>117</v>
      </c>
      <c r="E61" s="128" t="s">
        <v>118</v>
      </c>
      <c r="F61" s="44" t="s">
        <v>119</v>
      </c>
      <c r="G61" s="196" t="s">
        <v>120</v>
      </c>
      <c r="H61" s="195"/>
      <c r="I61" s="194" t="s">
        <v>1</v>
      </c>
      <c r="J61" s="195"/>
    </row>
    <row r="62" spans="2:10" ht="15">
      <c r="B62" s="122" t="s">
        <v>211</v>
      </c>
      <c r="C62" s="68"/>
      <c r="D62" s="132">
        <v>3.97</v>
      </c>
      <c r="E62" s="133">
        <v>3.99</v>
      </c>
      <c r="F62" s="134">
        <f>+J62/(H62/1000)</f>
        <v>3.993333333333333</v>
      </c>
      <c r="G62" s="157"/>
      <c r="H62" s="158">
        <f>200000+100000</f>
        <v>300000</v>
      </c>
      <c r="I62" s="159"/>
      <c r="J62" s="158">
        <f>797+401</f>
        <v>1198</v>
      </c>
    </row>
    <row r="63" spans="2:10" ht="15">
      <c r="B63" s="122" t="s">
        <v>231</v>
      </c>
      <c r="C63" s="68"/>
      <c r="D63" s="132">
        <v>4.06</v>
      </c>
      <c r="E63" s="133">
        <v>4.09</v>
      </c>
      <c r="F63" s="134">
        <f>+J63/(H63/1000)</f>
        <v>4.087692307692308</v>
      </c>
      <c r="G63" s="126"/>
      <c r="H63" s="124">
        <f>500000+500000+500000+300000+150000</f>
        <v>1950000</v>
      </c>
      <c r="I63" s="44"/>
      <c r="J63" s="124">
        <f>2036+2050+2039+1232+615-1</f>
        <v>7971</v>
      </c>
    </row>
    <row r="64" spans="2:10" ht="15">
      <c r="B64" s="138" t="s">
        <v>123</v>
      </c>
      <c r="C64" s="44"/>
      <c r="D64" s="135"/>
      <c r="E64" s="136"/>
      <c r="F64" s="137"/>
      <c r="G64" s="126"/>
      <c r="H64" s="124">
        <f>+H62+H63</f>
        <v>2250000</v>
      </c>
      <c r="I64" s="44"/>
      <c r="J64" s="124">
        <f>+J62+J63</f>
        <v>9169</v>
      </c>
    </row>
    <row r="65" spans="1:2" ht="15">
      <c r="A65" s="39"/>
      <c r="B65" s="39"/>
    </row>
    <row r="66" spans="1:2" ht="15">
      <c r="A66" s="39"/>
      <c r="B66" s="56" t="s">
        <v>321</v>
      </c>
    </row>
    <row r="67" ht="7.5" customHeight="1">
      <c r="A67" s="39"/>
    </row>
    <row r="68" spans="2:10" ht="15">
      <c r="B68" s="119"/>
      <c r="C68" s="120"/>
      <c r="D68" s="120"/>
      <c r="E68" s="120"/>
      <c r="F68" s="120"/>
      <c r="G68" s="130"/>
      <c r="H68" s="131"/>
      <c r="I68" s="192" t="s">
        <v>122</v>
      </c>
      <c r="J68" s="193"/>
    </row>
    <row r="69" spans="2:10" ht="15">
      <c r="B69" s="125"/>
      <c r="C69" s="44"/>
      <c r="D69" s="44"/>
      <c r="E69" s="44"/>
      <c r="F69" s="44"/>
      <c r="G69" s="196" t="s">
        <v>120</v>
      </c>
      <c r="H69" s="195"/>
      <c r="I69" s="194" t="s">
        <v>1</v>
      </c>
      <c r="J69" s="195"/>
    </row>
    <row r="70" spans="2:10" ht="15">
      <c r="B70" s="121" t="s">
        <v>210</v>
      </c>
      <c r="C70" s="68"/>
      <c r="D70" s="68"/>
      <c r="E70" s="68"/>
      <c r="F70" s="68"/>
      <c r="G70" s="127"/>
      <c r="H70" s="123">
        <v>34850000</v>
      </c>
      <c r="I70" s="68"/>
      <c r="J70" s="123">
        <v>206089</v>
      </c>
    </row>
    <row r="71" spans="2:10" ht="15">
      <c r="B71" s="121" t="s">
        <v>212</v>
      </c>
      <c r="C71" s="68"/>
      <c r="D71" s="68"/>
      <c r="E71" s="68"/>
      <c r="F71" s="68"/>
      <c r="G71" s="126"/>
      <c r="H71" s="124">
        <f>+H64</f>
        <v>2250000</v>
      </c>
      <c r="I71" s="44"/>
      <c r="J71" s="124">
        <f>+J64</f>
        <v>9169</v>
      </c>
    </row>
    <row r="72" spans="2:10" ht="15">
      <c r="B72" s="125" t="s">
        <v>322</v>
      </c>
      <c r="C72" s="44"/>
      <c r="D72" s="44"/>
      <c r="E72" s="44"/>
      <c r="F72" s="44"/>
      <c r="G72" s="126"/>
      <c r="H72" s="124">
        <f>+H70+H71</f>
        <v>37100000</v>
      </c>
      <c r="I72" s="44"/>
      <c r="J72" s="124">
        <f>+J70+J71</f>
        <v>215258</v>
      </c>
    </row>
    <row r="74" ht="15">
      <c r="B74" s="56" t="s">
        <v>323</v>
      </c>
    </row>
    <row r="75" ht="15">
      <c r="B75" s="56" t="s">
        <v>324</v>
      </c>
    </row>
    <row r="77" ht="15">
      <c r="B77" s="56" t="s">
        <v>357</v>
      </c>
    </row>
    <row r="78" ht="15">
      <c r="B78" s="56" t="s">
        <v>224</v>
      </c>
    </row>
    <row r="79" ht="15">
      <c r="I79" s="53" t="s">
        <v>225</v>
      </c>
    </row>
    <row r="80" spans="8:9" ht="15">
      <c r="H80" s="53" t="s">
        <v>218</v>
      </c>
      <c r="I80" s="53" t="s">
        <v>217</v>
      </c>
    </row>
    <row r="81" spans="8:10" ht="15">
      <c r="H81" s="53" t="s">
        <v>201</v>
      </c>
      <c r="I81" s="53" t="s">
        <v>201</v>
      </c>
      <c r="J81" s="53" t="s">
        <v>20</v>
      </c>
    </row>
    <row r="82" spans="8:10" ht="15">
      <c r="H82" s="53" t="s">
        <v>1</v>
      </c>
      <c r="I82" s="53" t="s">
        <v>1</v>
      </c>
      <c r="J82" s="53" t="s">
        <v>1</v>
      </c>
    </row>
    <row r="83" spans="3:10" ht="15">
      <c r="C83" s="56" t="s">
        <v>210</v>
      </c>
      <c r="H83" s="39">
        <v>240702</v>
      </c>
      <c r="I83" s="39">
        <f>268223-19257</f>
        <v>248966</v>
      </c>
      <c r="J83" s="39">
        <f>+H83+I83</f>
        <v>489668</v>
      </c>
    </row>
    <row r="84" spans="3:10" ht="15">
      <c r="C84" s="56" t="s">
        <v>219</v>
      </c>
      <c r="H84" s="180">
        <v>-103684</v>
      </c>
      <c r="I84" s="180">
        <v>-120159</v>
      </c>
      <c r="J84" s="180">
        <f>+H84+I84</f>
        <v>-223843</v>
      </c>
    </row>
    <row r="85" spans="3:10" ht="15">
      <c r="C85" s="56" t="s">
        <v>398</v>
      </c>
      <c r="H85" s="180"/>
      <c r="I85" s="180"/>
      <c r="J85" s="180"/>
    </row>
    <row r="86" spans="3:10" ht="15">
      <c r="C86" s="56" t="s">
        <v>397</v>
      </c>
      <c r="H86" s="182">
        <v>0</v>
      </c>
      <c r="I86" s="182">
        <v>6102</v>
      </c>
      <c r="J86" s="182">
        <f>+H86+I86</f>
        <v>6102</v>
      </c>
    </row>
    <row r="87" spans="8:10" ht="15">
      <c r="H87" s="39">
        <f>SUM(H83:H86)</f>
        <v>137018</v>
      </c>
      <c r="I87" s="39">
        <f>SUM(I83:I86)</f>
        <v>134909</v>
      </c>
      <c r="J87" s="39">
        <f>SUM(J83:J86)</f>
        <v>271927</v>
      </c>
    </row>
    <row r="88" spans="3:10" ht="15">
      <c r="C88" s="56" t="s">
        <v>220</v>
      </c>
      <c r="H88" s="44">
        <v>-3884</v>
      </c>
      <c r="I88" s="44">
        <f>-4501+1</f>
        <v>-4500</v>
      </c>
      <c r="J88" s="44">
        <f>+H88+I88</f>
        <v>-8384</v>
      </c>
    </row>
    <row r="89" spans="3:10" ht="15.75" thickBot="1">
      <c r="C89" s="56" t="s">
        <v>341</v>
      </c>
      <c r="H89" s="83">
        <f>+H87+H88</f>
        <v>133134</v>
      </c>
      <c r="I89" s="83">
        <f>+I87+I88</f>
        <v>130409</v>
      </c>
      <c r="J89" s="83">
        <f>+J87+J88</f>
        <v>263543</v>
      </c>
    </row>
    <row r="90" ht="11.25" customHeight="1" thickTop="1"/>
    <row r="91" ht="15">
      <c r="B91" s="56" t="s">
        <v>325</v>
      </c>
    </row>
    <row r="92" ht="15">
      <c r="J92" s="53" t="s">
        <v>1</v>
      </c>
    </row>
    <row r="93" spans="3:10" ht="15">
      <c r="C93" s="56" t="s">
        <v>358</v>
      </c>
      <c r="J93" s="139">
        <f>+J89</f>
        <v>263543</v>
      </c>
    </row>
    <row r="94" spans="3:10" ht="15">
      <c r="C94" s="56" t="s">
        <v>222</v>
      </c>
      <c r="J94" s="129">
        <f>19257-6102</f>
        <v>13155</v>
      </c>
    </row>
    <row r="95" spans="3:10" ht="15">
      <c r="C95" s="56"/>
      <c r="J95" s="39">
        <f>+J93+J94</f>
        <v>276698</v>
      </c>
    </row>
    <row r="96" spans="3:10" ht="15">
      <c r="C96" s="56" t="s">
        <v>359</v>
      </c>
      <c r="J96" s="39">
        <f>8385+18113</f>
        <v>26498</v>
      </c>
    </row>
    <row r="97" spans="3:10" ht="15">
      <c r="C97" s="56" t="s">
        <v>221</v>
      </c>
      <c r="J97" s="39">
        <f>10734-1</f>
        <v>10733</v>
      </c>
    </row>
    <row r="98" spans="3:10" ht="15.75" thickBot="1">
      <c r="C98" s="56" t="s">
        <v>360</v>
      </c>
      <c r="J98" s="183">
        <f>SUM(J95:J97)</f>
        <v>313929</v>
      </c>
    </row>
    <row r="99" ht="15.75" thickTop="1">
      <c r="J99" s="68"/>
    </row>
    <row r="100" ht="15">
      <c r="J100" s="68"/>
    </row>
    <row r="101" ht="15">
      <c r="J101" s="68"/>
    </row>
    <row r="102" ht="15">
      <c r="J102" s="68"/>
    </row>
    <row r="103" ht="15">
      <c r="J103" s="68"/>
    </row>
    <row r="104" ht="15">
      <c r="J104" s="68"/>
    </row>
    <row r="105" ht="15">
      <c r="J105" s="68"/>
    </row>
    <row r="106" ht="15">
      <c r="J106" s="68"/>
    </row>
    <row r="107" ht="15">
      <c r="J107" s="68"/>
    </row>
    <row r="108" ht="15">
      <c r="J108" s="68"/>
    </row>
    <row r="109" ht="15">
      <c r="J109" s="68"/>
    </row>
    <row r="110" ht="15">
      <c r="J110" s="68"/>
    </row>
    <row r="111" spans="1:4" ht="15">
      <c r="A111" s="56" t="s">
        <v>38</v>
      </c>
      <c r="B111" s="56" t="s">
        <v>326</v>
      </c>
      <c r="C111" s="56"/>
      <c r="D111" s="56"/>
    </row>
    <row r="112" spans="1:3" ht="15">
      <c r="A112" s="57"/>
      <c r="B112" s="56" t="s">
        <v>64</v>
      </c>
      <c r="C112" s="56" t="s">
        <v>252</v>
      </c>
    </row>
    <row r="113" spans="1:5" ht="15">
      <c r="A113" s="57"/>
      <c r="C113" s="56" t="s">
        <v>253</v>
      </c>
      <c r="D113" s="56"/>
      <c r="E113" s="56"/>
    </row>
    <row r="114" spans="1:5" ht="15">
      <c r="A114" s="57"/>
      <c r="C114" s="56" t="s">
        <v>412</v>
      </c>
      <c r="D114" s="56"/>
      <c r="E114" s="56"/>
    </row>
    <row r="115" spans="1:4" ht="12" customHeight="1">
      <c r="A115" s="57"/>
      <c r="C115" s="56"/>
      <c r="D115" s="56"/>
    </row>
    <row r="116" spans="1:4" ht="15">
      <c r="A116" s="57"/>
      <c r="B116" s="56" t="s">
        <v>65</v>
      </c>
      <c r="C116" s="56" t="s">
        <v>254</v>
      </c>
      <c r="D116" s="56"/>
    </row>
    <row r="117" spans="1:4" ht="15">
      <c r="A117" s="57"/>
      <c r="C117" s="56" t="s">
        <v>259</v>
      </c>
      <c r="D117" s="56"/>
    </row>
    <row r="118" spans="1:4" ht="15">
      <c r="A118" s="57"/>
      <c r="C118" s="56" t="s">
        <v>413</v>
      </c>
      <c r="D118" s="56"/>
    </row>
    <row r="119" spans="1:4" ht="12" customHeight="1">
      <c r="A119" s="57"/>
      <c r="C119" s="56"/>
      <c r="D119" s="56"/>
    </row>
    <row r="120" spans="1:4" ht="15">
      <c r="A120" s="57"/>
      <c r="B120" s="56" t="s">
        <v>66</v>
      </c>
      <c r="C120" s="56" t="s">
        <v>327</v>
      </c>
      <c r="D120" s="56"/>
    </row>
    <row r="121" spans="1:4" ht="15">
      <c r="A121" s="57"/>
      <c r="C121" s="56" t="s">
        <v>328</v>
      </c>
      <c r="D121" s="56"/>
    </row>
    <row r="122" spans="1:4" ht="15">
      <c r="A122" s="57"/>
      <c r="C122" s="56" t="s">
        <v>414</v>
      </c>
      <c r="D122" s="56"/>
    </row>
    <row r="123" ht="15">
      <c r="A123" s="57"/>
    </row>
    <row r="124" spans="1:4" ht="15" customHeight="1">
      <c r="A124" s="57"/>
      <c r="B124" s="56" t="s">
        <v>329</v>
      </c>
      <c r="C124" s="56"/>
      <c r="D124" s="56"/>
    </row>
    <row r="125" spans="1:4" ht="15" customHeight="1">
      <c r="A125" s="57"/>
      <c r="B125" s="56" t="s">
        <v>330</v>
      </c>
      <c r="C125" s="56"/>
      <c r="D125" s="56"/>
    </row>
    <row r="126" spans="1:10" ht="15" customHeight="1">
      <c r="A126" s="57"/>
      <c r="B126" s="170" t="s">
        <v>415</v>
      </c>
      <c r="C126" s="56"/>
      <c r="D126" s="56"/>
      <c r="J126" s="173"/>
    </row>
    <row r="127" spans="1:4" ht="12" customHeight="1">
      <c r="A127" s="57"/>
      <c r="C127" s="56"/>
      <c r="D127" s="56"/>
    </row>
    <row r="128" spans="1:4" ht="3.75" customHeight="1">
      <c r="A128" s="57"/>
      <c r="C128" s="56"/>
      <c r="D128" s="56"/>
    </row>
    <row r="129" spans="1:4" ht="6" customHeight="1">
      <c r="A129" s="57"/>
      <c r="C129" s="56"/>
      <c r="D129" s="56"/>
    </row>
    <row r="130" spans="1:4" ht="15">
      <c r="A130" s="56" t="s">
        <v>39</v>
      </c>
      <c r="B130" s="170" t="s">
        <v>331</v>
      </c>
      <c r="C130" s="56"/>
      <c r="D130" s="56"/>
    </row>
    <row r="131" spans="2:4" ht="4.5" customHeight="1">
      <c r="B131" s="58"/>
      <c r="C131" s="58"/>
      <c r="D131" s="58"/>
    </row>
    <row r="132" spans="2:18" ht="14.25" customHeight="1">
      <c r="B132" s="114" t="s">
        <v>2</v>
      </c>
      <c r="C132" s="56"/>
      <c r="F132" s="74"/>
      <c r="G132" s="74"/>
      <c r="H132" s="75"/>
      <c r="I132" s="95" t="s">
        <v>67</v>
      </c>
      <c r="J132" s="74" t="s">
        <v>68</v>
      </c>
      <c r="K132" s="74" t="s">
        <v>20</v>
      </c>
      <c r="L132" s="64"/>
      <c r="M132" s="64"/>
      <c r="N132" s="64"/>
      <c r="O132" s="64"/>
      <c r="P132" s="64"/>
      <c r="Q132" s="64"/>
      <c r="R132" s="64"/>
    </row>
    <row r="133" spans="3:18" ht="14.25" customHeight="1">
      <c r="C133" s="56"/>
      <c r="F133" s="74"/>
      <c r="G133" s="74"/>
      <c r="H133" s="75"/>
      <c r="I133" s="95"/>
      <c r="J133" s="74" t="s">
        <v>69</v>
      </c>
      <c r="K133" s="74"/>
      <c r="L133" s="64"/>
      <c r="M133" s="64"/>
      <c r="N133" s="64"/>
      <c r="O133" s="64"/>
      <c r="P133" s="64"/>
      <c r="Q133" s="64"/>
      <c r="R133" s="64"/>
    </row>
    <row r="134" spans="2:18" ht="15">
      <c r="B134" s="39"/>
      <c r="C134" s="56"/>
      <c r="D134" s="56"/>
      <c r="I134" s="39" t="s">
        <v>1</v>
      </c>
      <c r="J134" s="39" t="s">
        <v>1</v>
      </c>
      <c r="K134" s="39" t="s">
        <v>1</v>
      </c>
      <c r="N134" s="53"/>
      <c r="Q134" s="53"/>
      <c r="R134" s="53"/>
    </row>
    <row r="135" spans="2:18" ht="15">
      <c r="B135" s="56" t="s">
        <v>150</v>
      </c>
      <c r="C135" s="56"/>
      <c r="D135" s="56"/>
      <c r="I135" s="68">
        <v>2454702</v>
      </c>
      <c r="J135" s="68">
        <v>0</v>
      </c>
      <c r="K135" s="68">
        <f>SUM(I135:J135)</f>
        <v>2454702</v>
      </c>
      <c r="N135" s="53"/>
      <c r="Q135" s="53"/>
      <c r="R135" s="53"/>
    </row>
    <row r="136" spans="2:18" ht="15">
      <c r="B136" s="56" t="s">
        <v>154</v>
      </c>
      <c r="C136" s="56"/>
      <c r="D136" s="56"/>
      <c r="E136" s="65"/>
      <c r="F136" s="65"/>
      <c r="G136" s="65"/>
      <c r="H136" s="65"/>
      <c r="I136" s="68">
        <f>1002+20855</f>
        <v>21857</v>
      </c>
      <c r="J136" s="68">
        <v>19361</v>
      </c>
      <c r="K136" s="68">
        <f>SUM(I136:J136)</f>
        <v>41218</v>
      </c>
      <c r="N136" s="53"/>
      <c r="Q136" s="53"/>
      <c r="R136" s="53"/>
    </row>
    <row r="137" spans="2:18" ht="15">
      <c r="B137" s="56" t="s">
        <v>155</v>
      </c>
      <c r="C137" s="56"/>
      <c r="D137" s="56"/>
      <c r="E137" s="65"/>
      <c r="F137" s="65"/>
      <c r="G137" s="65"/>
      <c r="H137" s="65"/>
      <c r="I137" s="68">
        <v>0</v>
      </c>
      <c r="J137" s="68">
        <f>-J136</f>
        <v>-19361</v>
      </c>
      <c r="K137" s="68">
        <f>SUM(I137:J137)</f>
        <v>-19361</v>
      </c>
      <c r="N137" s="53"/>
      <c r="Q137" s="53"/>
      <c r="R137" s="53"/>
    </row>
    <row r="138" spans="2:18" ht="15.75" thickBot="1">
      <c r="B138" s="66" t="s">
        <v>32</v>
      </c>
      <c r="C138" s="66"/>
      <c r="D138" s="66"/>
      <c r="F138" s="68"/>
      <c r="G138" s="68"/>
      <c r="H138" s="68"/>
      <c r="I138" s="83">
        <f>SUM(I135:I137)</f>
        <v>2476559</v>
      </c>
      <c r="J138" s="83">
        <f>SUM(J135:J137)</f>
        <v>0</v>
      </c>
      <c r="K138" s="83">
        <f>SUM(K135:K137)</f>
        <v>2476559</v>
      </c>
      <c r="N138" s="53"/>
      <c r="Q138" s="53"/>
      <c r="R138" s="53"/>
    </row>
    <row r="139" spans="3:18" ht="2.25" customHeight="1" thickTop="1">
      <c r="C139" s="56"/>
      <c r="D139" s="56"/>
      <c r="F139" s="68"/>
      <c r="G139" s="68"/>
      <c r="H139" s="68"/>
      <c r="I139" s="68"/>
      <c r="J139" s="68"/>
      <c r="N139" s="53"/>
      <c r="Q139" s="67"/>
      <c r="R139" s="67"/>
    </row>
    <row r="140" spans="2:4" ht="15">
      <c r="B140" s="114" t="s">
        <v>98</v>
      </c>
      <c r="C140" s="56"/>
      <c r="D140" s="56"/>
    </row>
    <row r="141" spans="2:18" ht="15">
      <c r="B141" s="56" t="s">
        <v>150</v>
      </c>
      <c r="C141" s="56"/>
      <c r="D141" s="56"/>
      <c r="I141"/>
      <c r="J141"/>
      <c r="K141" s="68">
        <v>424312</v>
      </c>
      <c r="N141" s="53"/>
      <c r="Q141" s="53"/>
      <c r="R141" s="53"/>
    </row>
    <row r="142" spans="2:18" ht="15">
      <c r="B142" s="56" t="s">
        <v>154</v>
      </c>
      <c r="C142" s="56"/>
      <c r="D142" s="56"/>
      <c r="I142"/>
      <c r="J142"/>
      <c r="K142" s="44">
        <f>-2656-15748</f>
        <v>-18404</v>
      </c>
      <c r="N142" s="53"/>
      <c r="Q142" s="53"/>
      <c r="R142" s="53"/>
    </row>
    <row r="143" spans="3:18" ht="15">
      <c r="C143" s="56"/>
      <c r="D143" s="56"/>
      <c r="I143" s="164"/>
      <c r="J143" s="164"/>
      <c r="K143" s="68">
        <f>SUM(K141:K142)</f>
        <v>405908</v>
      </c>
      <c r="N143" s="53"/>
      <c r="Q143" s="53"/>
      <c r="R143" s="53"/>
    </row>
    <row r="144" spans="2:18" ht="15">
      <c r="B144" s="56" t="s">
        <v>60</v>
      </c>
      <c r="C144" s="56"/>
      <c r="D144" s="56"/>
      <c r="F144" s="68"/>
      <c r="G144" s="68"/>
      <c r="H144" s="68"/>
      <c r="I144" s="68"/>
      <c r="J144" s="68"/>
      <c r="K144" s="44">
        <f>-2753+4+403-171-118</f>
        <v>-2635</v>
      </c>
      <c r="N144" s="53"/>
      <c r="Q144" s="53"/>
      <c r="R144" s="53"/>
    </row>
    <row r="145" spans="2:18" ht="15">
      <c r="B145" s="66" t="s">
        <v>151</v>
      </c>
      <c r="C145" s="66"/>
      <c r="D145" s="66"/>
      <c r="F145" s="86"/>
      <c r="G145" s="86"/>
      <c r="H145" s="86"/>
      <c r="I145" s="86"/>
      <c r="J145" s="86"/>
      <c r="K145" s="86">
        <f>+K143+K144</f>
        <v>403273</v>
      </c>
      <c r="N145" s="53"/>
      <c r="Q145" s="53"/>
      <c r="R145" s="53"/>
    </row>
    <row r="146" spans="2:18" ht="15">
      <c r="B146" s="66" t="s">
        <v>344</v>
      </c>
      <c r="C146" s="66"/>
      <c r="D146" s="66"/>
      <c r="F146" s="86"/>
      <c r="G146" s="86"/>
      <c r="H146" s="86"/>
      <c r="I146" s="86"/>
      <c r="J146" s="86"/>
      <c r="K146" s="86">
        <f>+PL!H17</f>
        <v>-7927</v>
      </c>
      <c r="N146" s="53"/>
      <c r="Q146" s="53"/>
      <c r="R146" s="53"/>
    </row>
    <row r="147" spans="2:18" ht="15">
      <c r="B147" s="56" t="s">
        <v>3</v>
      </c>
      <c r="C147" s="56"/>
      <c r="D147" s="56"/>
      <c r="F147" s="68"/>
      <c r="G147" s="68"/>
      <c r="H147" s="68"/>
      <c r="I147" s="68"/>
      <c r="J147" s="68"/>
      <c r="K147" s="68">
        <f>+PL!H18</f>
        <v>-21023</v>
      </c>
      <c r="N147" s="69"/>
      <c r="Q147" s="67"/>
      <c r="R147" s="67"/>
    </row>
    <row r="148" spans="2:18" ht="15">
      <c r="B148" s="56" t="s">
        <v>27</v>
      </c>
      <c r="C148" s="56"/>
      <c r="D148" s="56"/>
      <c r="F148" s="68"/>
      <c r="G148" s="68"/>
      <c r="H148" s="68"/>
      <c r="I148" s="68"/>
      <c r="J148" s="68"/>
      <c r="K148" s="68">
        <v>62977</v>
      </c>
      <c r="N148" s="53"/>
      <c r="Q148" s="53"/>
      <c r="R148" s="53"/>
    </row>
    <row r="149" spans="2:18" ht="15">
      <c r="B149" s="56" t="s">
        <v>368</v>
      </c>
      <c r="C149" s="56"/>
      <c r="D149" s="56"/>
      <c r="F149" s="68"/>
      <c r="G149" s="68"/>
      <c r="H149" s="68"/>
      <c r="I149" s="68"/>
      <c r="J149" s="68"/>
      <c r="K149" s="44">
        <v>-409</v>
      </c>
      <c r="N149" s="53"/>
      <c r="Q149" s="53"/>
      <c r="R149" s="53"/>
    </row>
    <row r="150" spans="2:18" ht="15">
      <c r="B150" s="56" t="s">
        <v>94</v>
      </c>
      <c r="C150" s="56"/>
      <c r="D150" s="56"/>
      <c r="F150" s="68"/>
      <c r="G150" s="68"/>
      <c r="H150" s="68"/>
      <c r="I150" s="68"/>
      <c r="J150" s="68"/>
      <c r="K150" s="39">
        <f>SUM(K145:K149)</f>
        <v>436891</v>
      </c>
      <c r="N150" s="53"/>
      <c r="Q150" s="53"/>
      <c r="R150" s="53"/>
    </row>
    <row r="151" spans="2:18" ht="15">
      <c r="B151" s="56" t="s">
        <v>28</v>
      </c>
      <c r="C151" s="56"/>
      <c r="D151" s="56"/>
      <c r="F151" s="68"/>
      <c r="G151" s="68"/>
      <c r="H151" s="68"/>
      <c r="I151" s="68"/>
      <c r="J151" s="68"/>
      <c r="K151" s="44">
        <f>+PL!H23</f>
        <v>-143599</v>
      </c>
      <c r="N151" s="53"/>
      <c r="Q151" s="53"/>
      <c r="R151" s="53"/>
    </row>
    <row r="152" spans="2:18" ht="15.75" thickBot="1">
      <c r="B152" s="56" t="s">
        <v>159</v>
      </c>
      <c r="C152" s="56"/>
      <c r="D152" s="56"/>
      <c r="F152" s="68"/>
      <c r="G152" s="68"/>
      <c r="H152" s="68"/>
      <c r="I152" s="68"/>
      <c r="J152" s="68"/>
      <c r="K152" s="175">
        <f>+K150+K151</f>
        <v>293292</v>
      </c>
      <c r="N152" s="69"/>
      <c r="Q152" s="67"/>
      <c r="R152" s="67"/>
    </row>
    <row r="153" spans="2:18" ht="12.75" customHeight="1">
      <c r="B153" s="98"/>
      <c r="J153" s="68"/>
      <c r="N153" s="53"/>
      <c r="Q153" s="53"/>
      <c r="R153" s="53"/>
    </row>
    <row r="154" spans="1:4" ht="15">
      <c r="A154" s="56" t="s">
        <v>40</v>
      </c>
      <c r="B154" s="56" t="s">
        <v>160</v>
      </c>
      <c r="C154" s="56"/>
      <c r="D154" s="56"/>
    </row>
    <row r="155" spans="1:4" ht="15">
      <c r="A155" s="57"/>
      <c r="B155" s="56" t="s">
        <v>208</v>
      </c>
      <c r="C155" s="56"/>
      <c r="D155" s="56"/>
    </row>
    <row r="156" spans="2:4" ht="12" customHeight="1">
      <c r="B156" s="39"/>
      <c r="D156" s="56"/>
    </row>
    <row r="157" spans="1:4" ht="15">
      <c r="A157" s="56" t="s">
        <v>41</v>
      </c>
      <c r="B157" s="56" t="s">
        <v>332</v>
      </c>
      <c r="C157" s="56"/>
      <c r="D157" s="56"/>
    </row>
    <row r="158" spans="2:4" ht="15">
      <c r="B158" s="56" t="s">
        <v>92</v>
      </c>
      <c r="C158" s="58"/>
      <c r="D158" s="58"/>
    </row>
    <row r="159" ht="5.25" customHeight="1">
      <c r="B159" s="39"/>
    </row>
    <row r="160" spans="1:4" ht="15">
      <c r="A160" s="39"/>
      <c r="B160" s="39"/>
      <c r="C160" s="56"/>
      <c r="D160" s="56"/>
    </row>
    <row r="161" spans="1:4" ht="15">
      <c r="A161" s="39"/>
      <c r="B161" s="39"/>
      <c r="C161" s="56"/>
      <c r="D161" s="56"/>
    </row>
    <row r="162" spans="1:4" ht="15">
      <c r="A162" s="39"/>
      <c r="B162" s="39"/>
      <c r="C162" s="56"/>
      <c r="D162" s="56"/>
    </row>
    <row r="163" spans="1:4" ht="15">
      <c r="A163" s="39"/>
      <c r="B163" s="39"/>
      <c r="C163" s="56"/>
      <c r="D163" s="56"/>
    </row>
    <row r="164" spans="1:4" ht="15">
      <c r="A164" s="39"/>
      <c r="B164" s="39"/>
      <c r="C164" s="56"/>
      <c r="D164" s="56"/>
    </row>
    <row r="165" spans="1:4" ht="15">
      <c r="A165" s="39"/>
      <c r="B165" s="39"/>
      <c r="C165" s="56"/>
      <c r="D165" s="56"/>
    </row>
    <row r="166" spans="1:4" ht="15">
      <c r="A166" s="56" t="s">
        <v>42</v>
      </c>
      <c r="B166" s="56" t="s">
        <v>333</v>
      </c>
      <c r="C166" s="56"/>
      <c r="D166" s="56"/>
    </row>
    <row r="167" spans="2:4" ht="15">
      <c r="B167" s="56" t="s">
        <v>334</v>
      </c>
      <c r="C167" s="58"/>
      <c r="D167" s="58"/>
    </row>
    <row r="168" ht="15">
      <c r="B168" s="56" t="s">
        <v>335</v>
      </c>
    </row>
    <row r="169" spans="1:4" ht="15">
      <c r="A169" s="57"/>
      <c r="B169" s="56" t="s">
        <v>336</v>
      </c>
      <c r="C169" s="56"/>
      <c r="D169" s="56"/>
    </row>
    <row r="170" spans="1:4" ht="15">
      <c r="A170" s="57"/>
      <c r="B170" s="56" t="s">
        <v>337</v>
      </c>
      <c r="C170" s="56"/>
      <c r="D170" s="56"/>
    </row>
    <row r="171" spans="1:4" ht="15">
      <c r="A171" s="57"/>
      <c r="B171" s="56" t="s">
        <v>338</v>
      </c>
      <c r="C171" s="56"/>
      <c r="D171" s="56"/>
    </row>
    <row r="172" spans="1:4" ht="15">
      <c r="A172" s="57"/>
      <c r="B172" s="56" t="s">
        <v>339</v>
      </c>
      <c r="C172" s="56"/>
      <c r="D172" s="56"/>
    </row>
    <row r="173" spans="1:4" ht="15" customHeight="1">
      <c r="A173" s="57"/>
      <c r="B173" s="56" t="s">
        <v>340</v>
      </c>
      <c r="C173" s="56"/>
      <c r="D173" s="56"/>
    </row>
    <row r="174" spans="1:4" ht="11.25" customHeight="1">
      <c r="A174" s="57"/>
      <c r="C174" s="56"/>
      <c r="D174" s="56"/>
    </row>
    <row r="175" spans="1:4" ht="15">
      <c r="A175" s="56" t="s">
        <v>43</v>
      </c>
      <c r="B175" s="56" t="s">
        <v>209</v>
      </c>
      <c r="C175" s="56"/>
      <c r="D175" s="56"/>
    </row>
    <row r="176" spans="2:4" ht="15">
      <c r="B176" s="56" t="s">
        <v>124</v>
      </c>
      <c r="C176" s="56"/>
      <c r="D176" s="56"/>
    </row>
    <row r="177" spans="3:4" ht="6.75" customHeight="1">
      <c r="C177" s="56"/>
      <c r="D177" s="56"/>
    </row>
    <row r="178" spans="2:11" ht="16.5" customHeight="1">
      <c r="B178" s="114" t="s">
        <v>126</v>
      </c>
      <c r="C178" s="56"/>
      <c r="E178" s="56"/>
      <c r="J178" s="53" t="s">
        <v>125</v>
      </c>
      <c r="K178" s="53" t="s">
        <v>1</v>
      </c>
    </row>
    <row r="179" spans="2:5" ht="15">
      <c r="B179" s="56" t="s">
        <v>257</v>
      </c>
      <c r="E179" s="56"/>
    </row>
    <row r="180" spans="2:4" ht="15">
      <c r="B180" s="56" t="s">
        <v>260</v>
      </c>
      <c r="D180" s="56"/>
    </row>
    <row r="181" spans="1:11" ht="15">
      <c r="A181" s="57"/>
      <c r="B181" s="39"/>
      <c r="C181" s="56" t="s">
        <v>255</v>
      </c>
      <c r="D181" s="56"/>
      <c r="J181" s="139">
        <v>21333</v>
      </c>
      <c r="K181" s="139">
        <f>+J181*3.8</f>
        <v>81065.4</v>
      </c>
    </row>
    <row r="182" spans="1:11" ht="15">
      <c r="A182" s="57"/>
      <c r="B182" s="39"/>
      <c r="C182" s="56" t="s">
        <v>256</v>
      </c>
      <c r="D182" s="56"/>
      <c r="J182" s="129">
        <v>-3333</v>
      </c>
      <c r="K182" s="129">
        <f>+J182*3.8</f>
        <v>-12665.4</v>
      </c>
    </row>
    <row r="183" spans="1:11" ht="15">
      <c r="A183" s="57"/>
      <c r="B183" s="39"/>
      <c r="C183" s="56" t="s">
        <v>341</v>
      </c>
      <c r="D183" s="56"/>
      <c r="J183" s="68">
        <f>+J181+J182</f>
        <v>18000</v>
      </c>
      <c r="K183" s="68">
        <f>+K181+K182</f>
        <v>68400</v>
      </c>
    </row>
    <row r="184" spans="1:4" ht="3" customHeight="1">
      <c r="A184" s="57"/>
      <c r="B184" s="39"/>
      <c r="D184" s="56"/>
    </row>
    <row r="185" spans="1:4" ht="15">
      <c r="A185" s="57"/>
      <c r="B185" s="92" t="s">
        <v>258</v>
      </c>
      <c r="D185" s="56"/>
    </row>
    <row r="186" spans="1:11" ht="15">
      <c r="A186" s="57"/>
      <c r="B186" s="39"/>
      <c r="C186" s="39" t="s">
        <v>210</v>
      </c>
      <c r="D186" s="56"/>
      <c r="J186" s="139">
        <v>1488</v>
      </c>
      <c r="K186" s="139">
        <f>ROUND(+J186*3.8,0)</f>
        <v>5654</v>
      </c>
    </row>
    <row r="187" spans="1:11" ht="15">
      <c r="A187" s="57"/>
      <c r="B187" s="39"/>
      <c r="C187" s="39" t="s">
        <v>127</v>
      </c>
      <c r="D187" s="56"/>
      <c r="J187" s="174">
        <v>-698</v>
      </c>
      <c r="K187" s="129">
        <f>ROUND(+J187*3.8,0)</f>
        <v>-2652</v>
      </c>
    </row>
    <row r="188" spans="1:11" ht="15">
      <c r="A188" s="57"/>
      <c r="B188" s="39"/>
      <c r="C188" s="39" t="s">
        <v>341</v>
      </c>
      <c r="D188" s="56"/>
      <c r="J188" s="173">
        <f>+J186+J187</f>
        <v>790</v>
      </c>
      <c r="K188" s="39">
        <f>+K186+K187</f>
        <v>3002</v>
      </c>
    </row>
    <row r="189" spans="1:11" ht="15.75" thickBot="1">
      <c r="A189" s="57"/>
      <c r="B189" s="39" t="s">
        <v>20</v>
      </c>
      <c r="D189" s="56"/>
      <c r="J189" s="83">
        <f>+J188+J183</f>
        <v>18790</v>
      </c>
      <c r="K189" s="83">
        <f>+K188+K183</f>
        <v>71402</v>
      </c>
    </row>
    <row r="190" spans="1:4" ht="8.25" customHeight="1" thickTop="1">
      <c r="A190" s="57"/>
      <c r="B190" s="39"/>
      <c r="D190" s="56"/>
    </row>
    <row r="191" spans="1:4" ht="15">
      <c r="A191" s="57"/>
      <c r="B191" s="39" t="s">
        <v>128</v>
      </c>
      <c r="D191" s="56"/>
    </row>
    <row r="193" spans="2:4" ht="15">
      <c r="B193" s="39"/>
      <c r="C193" s="56"/>
      <c r="D193" s="56"/>
    </row>
    <row r="194" spans="2:4" ht="15">
      <c r="B194" s="58"/>
      <c r="C194" s="70"/>
      <c r="D194" s="70"/>
    </row>
    <row r="195" spans="2:4" ht="15">
      <c r="B195" s="55"/>
      <c r="C195" s="55"/>
      <c r="D195" s="55"/>
    </row>
    <row r="200" spans="3:4" ht="15">
      <c r="C200" s="56"/>
      <c r="D200" s="56"/>
    </row>
    <row r="201" spans="3:4" ht="15">
      <c r="C201" s="56"/>
      <c r="D201" s="56"/>
    </row>
    <row r="202" spans="3:4" ht="15">
      <c r="C202" s="56"/>
      <c r="D202" s="56"/>
    </row>
    <row r="203" spans="3:4" ht="15">
      <c r="C203" s="56"/>
      <c r="D203" s="56"/>
    </row>
    <row r="204" spans="3:4" ht="15">
      <c r="C204" s="56"/>
      <c r="D204" s="56"/>
    </row>
    <row r="210" spans="3:19" ht="15">
      <c r="C210" s="56"/>
      <c r="D210" s="56"/>
      <c r="S210" s="53"/>
    </row>
    <row r="211" spans="3:14" ht="15">
      <c r="C211" s="56"/>
      <c r="D211" s="56"/>
      <c r="N211" s="53"/>
    </row>
    <row r="212" spans="3:19" ht="15">
      <c r="C212" s="56"/>
      <c r="D212" s="56"/>
      <c r="O212" s="53"/>
      <c r="S212" s="53"/>
    </row>
    <row r="214" spans="3:19" ht="15">
      <c r="C214" s="56"/>
      <c r="D214" s="56"/>
      <c r="S214" s="53"/>
    </row>
    <row r="217" spans="3:4" ht="15">
      <c r="C217" s="56"/>
      <c r="D217" s="56"/>
    </row>
    <row r="218" spans="3:12" ht="15">
      <c r="C218" s="56"/>
      <c r="D218" s="56"/>
      <c r="L218" s="53"/>
    </row>
    <row r="221" spans="3:4" ht="15">
      <c r="C221" s="56"/>
      <c r="D221" s="56"/>
    </row>
  </sheetData>
  <mergeCells count="7">
    <mergeCell ref="I68:J68"/>
    <mergeCell ref="I69:J69"/>
    <mergeCell ref="G69:H69"/>
    <mergeCell ref="D60:F60"/>
    <mergeCell ref="G61:H61"/>
    <mergeCell ref="I61:J61"/>
    <mergeCell ref="I60:J60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30-4-2004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4"/>
  <sheetViews>
    <sheetView showGridLines="0" tabSelected="1" workbookViewId="0" topLeftCell="A199">
      <selection activeCell="D203" sqref="D203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7.8515625" style="2" customWidth="1"/>
    <col min="4" max="5" width="9.140625" style="2" customWidth="1"/>
    <col min="6" max="6" width="12.28125" style="2" customWidth="1"/>
    <col min="7" max="7" width="10.8515625" style="2" customWidth="1"/>
    <col min="8" max="8" width="10.140625" style="71" customWidth="1"/>
    <col min="9" max="9" width="10.28125" style="71" customWidth="1"/>
    <col min="10" max="10" width="9.28125" style="71" customWidth="1"/>
    <col min="11" max="11" width="7.140625" style="2" customWidth="1"/>
    <col min="12" max="12" width="7.8515625" style="2" customWidth="1"/>
    <col min="13" max="13" width="6.2812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5"/>
      <c r="C1" s="55"/>
      <c r="D1" s="55"/>
      <c r="E1" s="39"/>
      <c r="F1" s="39"/>
      <c r="G1" s="39"/>
      <c r="H1" s="76"/>
      <c r="I1" s="76"/>
    </row>
    <row r="2" spans="2:9" ht="15">
      <c r="B2" s="55"/>
      <c r="C2" s="55"/>
      <c r="D2" s="55"/>
      <c r="E2" s="39"/>
      <c r="F2" s="39"/>
      <c r="G2" s="39"/>
      <c r="H2" s="76"/>
      <c r="I2" s="76"/>
    </row>
    <row r="3" spans="2:9" ht="3" customHeight="1">
      <c r="B3" s="55"/>
      <c r="C3" s="55"/>
      <c r="D3" s="55"/>
      <c r="E3" s="39"/>
      <c r="F3" s="39"/>
      <c r="G3" s="39"/>
      <c r="H3" s="76"/>
      <c r="I3" s="76"/>
    </row>
    <row r="4" spans="1:9" ht="15">
      <c r="A4" s="5" t="str">
        <f>PL!A5</f>
        <v>UNAUDITED QUARTERLY FINANCIAL REPORT FOR THE YEAR ENDED 30 APRIL 2004</v>
      </c>
      <c r="B4" s="55"/>
      <c r="C4" s="55"/>
      <c r="D4" s="55"/>
      <c r="E4" s="39"/>
      <c r="F4" s="39"/>
      <c r="G4" s="39"/>
      <c r="H4" s="76"/>
      <c r="I4" s="76"/>
    </row>
    <row r="5" spans="1:9" ht="15">
      <c r="A5" s="54" t="s">
        <v>383</v>
      </c>
      <c r="B5" s="55"/>
      <c r="C5" s="55"/>
      <c r="D5" s="55"/>
      <c r="E5" s="39"/>
      <c r="F5" s="39"/>
      <c r="G5" s="39"/>
      <c r="H5" s="76"/>
      <c r="I5" s="76"/>
    </row>
    <row r="6" spans="1:9" ht="15">
      <c r="A6" s="56"/>
      <c r="B6" s="56"/>
      <c r="C6" s="56"/>
      <c r="D6" s="56"/>
      <c r="E6" s="39"/>
      <c r="F6" s="39"/>
      <c r="G6" s="39"/>
      <c r="H6" s="76"/>
      <c r="I6" s="76"/>
    </row>
    <row r="7" spans="1:9" ht="15">
      <c r="A7" s="56" t="s">
        <v>44</v>
      </c>
      <c r="B7" s="56" t="s">
        <v>369</v>
      </c>
      <c r="C7" s="56"/>
      <c r="D7" s="56"/>
      <c r="E7" s="39"/>
      <c r="F7" s="39"/>
      <c r="G7" s="39"/>
      <c r="H7" s="76"/>
      <c r="I7" s="76"/>
    </row>
    <row r="8" spans="1:10" ht="15">
      <c r="A8" s="56"/>
      <c r="B8" s="2" t="s">
        <v>433</v>
      </c>
      <c r="F8" s="39"/>
      <c r="G8" s="39"/>
      <c r="H8"/>
      <c r="I8"/>
      <c r="J8" s="79"/>
    </row>
    <row r="9" spans="1:10" ht="15">
      <c r="A9" s="56"/>
      <c r="B9" s="2" t="s">
        <v>425</v>
      </c>
      <c r="F9" s="39"/>
      <c r="G9" s="39"/>
      <c r="H9"/>
      <c r="I9"/>
      <c r="J9" s="79"/>
    </row>
    <row r="10" spans="1:10" ht="15">
      <c r="A10" s="56"/>
      <c r="B10" s="2" t="s">
        <v>426</v>
      </c>
      <c r="F10" s="39"/>
      <c r="G10" s="39"/>
      <c r="H10"/>
      <c r="I10"/>
      <c r="J10" s="79"/>
    </row>
    <row r="11" spans="1:10" ht="15">
      <c r="A11" s="56"/>
      <c r="F11" s="39"/>
      <c r="G11" s="39"/>
      <c r="H11"/>
      <c r="I11"/>
      <c r="J11" s="79"/>
    </row>
    <row r="12" spans="1:10" ht="15">
      <c r="A12" s="56"/>
      <c r="B12" s="2" t="s">
        <v>370</v>
      </c>
      <c r="F12" s="39"/>
      <c r="G12" s="39"/>
      <c r="H12"/>
      <c r="I12"/>
      <c r="J12" s="79"/>
    </row>
    <row r="13" spans="1:9" ht="15">
      <c r="A13" s="56"/>
      <c r="B13" s="2" t="s">
        <v>427</v>
      </c>
      <c r="C13" s="58"/>
      <c r="D13" s="58"/>
      <c r="E13" s="39"/>
      <c r="F13" s="39"/>
      <c r="G13" s="39"/>
      <c r="H13" s="78"/>
      <c r="I13" s="78"/>
    </row>
    <row r="14" spans="1:9" ht="15">
      <c r="A14" s="56"/>
      <c r="B14" s="2" t="s">
        <v>371</v>
      </c>
      <c r="G14" s="39"/>
      <c r="H14" s="78"/>
      <c r="I14" s="78"/>
    </row>
    <row r="15" spans="1:9" ht="15">
      <c r="A15" s="56"/>
      <c r="B15" s="2" t="s">
        <v>372</v>
      </c>
      <c r="G15" s="39"/>
      <c r="H15" s="78"/>
      <c r="I15" s="78"/>
    </row>
    <row r="16" spans="1:9" ht="15">
      <c r="A16" s="56"/>
      <c r="G16" s="39"/>
      <c r="H16" s="78"/>
      <c r="I16" s="78"/>
    </row>
    <row r="17" spans="1:9" ht="15">
      <c r="A17" s="56"/>
      <c r="B17" s="2" t="s">
        <v>373</v>
      </c>
      <c r="G17" s="39"/>
      <c r="H17" s="78"/>
      <c r="I17" s="78"/>
    </row>
    <row r="18" spans="1:9" ht="15">
      <c r="A18" s="56"/>
      <c r="B18" s="2" t="s">
        <v>405</v>
      </c>
      <c r="G18" s="39"/>
      <c r="H18" s="78"/>
      <c r="I18" s="78"/>
    </row>
    <row r="19" spans="1:9" ht="15">
      <c r="A19" s="56"/>
      <c r="G19" s="39"/>
      <c r="H19" s="78"/>
      <c r="I19" s="78"/>
    </row>
    <row r="20" spans="1:9" ht="15">
      <c r="A20" s="56"/>
      <c r="B20" s="2" t="s">
        <v>374</v>
      </c>
      <c r="G20" s="39"/>
      <c r="H20" s="78"/>
      <c r="I20" s="78"/>
    </row>
    <row r="21" spans="1:9" ht="15">
      <c r="A21" s="56"/>
      <c r="B21" s="2" t="s">
        <v>416</v>
      </c>
      <c r="G21" s="39"/>
      <c r="H21" s="78"/>
      <c r="I21" s="78"/>
    </row>
    <row r="22" spans="1:9" ht="15">
      <c r="A22" s="56"/>
      <c r="B22" s="2" t="s">
        <v>428</v>
      </c>
      <c r="G22" s="39"/>
      <c r="H22" s="78"/>
      <c r="I22" s="78"/>
    </row>
    <row r="23" spans="1:9" ht="15">
      <c r="A23" s="56"/>
      <c r="B23" s="2" t="s">
        <v>429</v>
      </c>
      <c r="G23" s="39"/>
      <c r="H23" s="78"/>
      <c r="I23" s="78"/>
    </row>
    <row r="24" spans="1:9" ht="15">
      <c r="A24" s="56"/>
      <c r="B24" s="56" t="s">
        <v>430</v>
      </c>
      <c r="G24" s="39"/>
      <c r="H24" s="78"/>
      <c r="I24" s="78"/>
    </row>
    <row r="25" spans="1:9" ht="15">
      <c r="A25" s="56"/>
      <c r="B25" s="56"/>
      <c r="G25" s="39"/>
      <c r="H25" s="78"/>
      <c r="I25" s="78"/>
    </row>
    <row r="26" spans="1:9" ht="15">
      <c r="A26" s="56" t="s">
        <v>45</v>
      </c>
      <c r="B26" s="56" t="s">
        <v>375</v>
      </c>
      <c r="C26" s="56"/>
      <c r="D26" s="56"/>
      <c r="E26" s="39"/>
      <c r="F26" s="39"/>
      <c r="G26" s="39"/>
      <c r="H26" s="76"/>
      <c r="I26" s="76"/>
    </row>
    <row r="27" spans="1:9" ht="15">
      <c r="A27" s="56"/>
      <c r="B27" s="56" t="s">
        <v>376</v>
      </c>
      <c r="C27" s="56"/>
      <c r="D27" s="56"/>
      <c r="E27" s="39"/>
      <c r="F27" s="39"/>
      <c r="G27" s="39"/>
      <c r="H27" s="76"/>
      <c r="I27" s="76"/>
    </row>
    <row r="28" spans="1:9" ht="15">
      <c r="A28" s="56"/>
      <c r="B28" s="56" t="s">
        <v>431</v>
      </c>
      <c r="C28" s="56"/>
      <c r="D28" s="56"/>
      <c r="E28" s="39"/>
      <c r="F28" s="39"/>
      <c r="G28" s="39"/>
      <c r="H28" s="76"/>
      <c r="I28" s="76"/>
    </row>
    <row r="29" spans="1:9" ht="15">
      <c r="A29" s="56"/>
      <c r="B29" s="56" t="s">
        <v>432</v>
      </c>
      <c r="C29" s="56"/>
      <c r="D29" s="56"/>
      <c r="E29" s="39"/>
      <c r="F29" s="39"/>
      <c r="G29" s="39"/>
      <c r="H29" s="76"/>
      <c r="I29" s="76"/>
    </row>
    <row r="30" spans="1:9" ht="15">
      <c r="A30" s="56"/>
      <c r="B30" s="56"/>
      <c r="C30" s="56"/>
      <c r="D30" s="56"/>
      <c r="E30" s="39"/>
      <c r="F30" s="39"/>
      <c r="G30" s="39"/>
      <c r="H30" s="76"/>
      <c r="I30" s="76"/>
    </row>
    <row r="31" spans="1:9" ht="15">
      <c r="A31" s="56"/>
      <c r="B31" s="56" t="s">
        <v>377</v>
      </c>
      <c r="C31" s="56"/>
      <c r="D31" s="56"/>
      <c r="E31" s="39"/>
      <c r="F31" s="39"/>
      <c r="G31" s="39"/>
      <c r="H31" s="76"/>
      <c r="I31" s="76"/>
    </row>
    <row r="32" spans="1:9" ht="14.25" customHeight="1">
      <c r="A32" s="56"/>
      <c r="B32" s="56" t="s">
        <v>378</v>
      </c>
      <c r="E32" s="39"/>
      <c r="F32" s="39"/>
      <c r="G32" s="39"/>
      <c r="H32" s="76"/>
      <c r="I32" s="76"/>
    </row>
    <row r="33" spans="1:9" ht="15" customHeight="1">
      <c r="A33" s="56"/>
      <c r="B33" s="56" t="s">
        <v>379</v>
      </c>
      <c r="E33" s="39"/>
      <c r="F33" s="39"/>
      <c r="G33" s="39"/>
      <c r="H33" s="76"/>
      <c r="I33" s="76"/>
    </row>
    <row r="34" spans="1:9" ht="15" customHeight="1">
      <c r="A34" s="56"/>
      <c r="B34" s="56"/>
      <c r="E34" s="39"/>
      <c r="F34" s="39"/>
      <c r="G34" s="39"/>
      <c r="H34" s="76"/>
      <c r="I34" s="76"/>
    </row>
    <row r="35" spans="1:9" ht="15">
      <c r="A35" s="56" t="s">
        <v>46</v>
      </c>
      <c r="B35" s="56" t="s">
        <v>380</v>
      </c>
      <c r="C35" s="56"/>
      <c r="D35" s="56"/>
      <c r="E35" s="39"/>
      <c r="F35" s="39"/>
      <c r="G35" s="39"/>
      <c r="H35" s="76"/>
      <c r="I35" s="76"/>
    </row>
    <row r="36" spans="1:9" ht="15">
      <c r="A36" s="56"/>
      <c r="B36" s="56" t="s">
        <v>382</v>
      </c>
      <c r="C36" s="56"/>
      <c r="D36" s="56"/>
      <c r="E36" s="39"/>
      <c r="F36" s="39"/>
      <c r="G36" s="39"/>
      <c r="H36" s="76"/>
      <c r="I36" s="76"/>
    </row>
    <row r="37" spans="1:9" ht="15">
      <c r="A37" s="56"/>
      <c r="B37" s="56" t="s">
        <v>381</v>
      </c>
      <c r="C37" s="56"/>
      <c r="D37" s="56"/>
      <c r="E37" s="39"/>
      <c r="F37" s="39"/>
      <c r="G37" s="39"/>
      <c r="H37" s="76"/>
      <c r="I37" s="76"/>
    </row>
    <row r="38" spans="1:9" ht="11.25" customHeight="1">
      <c r="A38" s="56"/>
      <c r="B38" s="56"/>
      <c r="C38" s="56"/>
      <c r="D38" s="56"/>
      <c r="E38" s="39"/>
      <c r="F38" s="39"/>
      <c r="G38" s="39"/>
      <c r="H38" s="76"/>
      <c r="I38" s="76"/>
    </row>
    <row r="39" spans="1:9" ht="15">
      <c r="A39" s="57" t="s">
        <v>48</v>
      </c>
      <c r="B39" s="56" t="s">
        <v>287</v>
      </c>
      <c r="C39" s="56"/>
      <c r="D39" s="39"/>
      <c r="E39" s="39"/>
      <c r="F39" s="39"/>
      <c r="G39" s="39"/>
      <c r="H39" s="76"/>
      <c r="I39" s="76"/>
    </row>
    <row r="40" spans="2:9" ht="12.75" customHeight="1">
      <c r="B40" s="56" t="s">
        <v>288</v>
      </c>
      <c r="C40" s="56"/>
      <c r="D40" s="39"/>
      <c r="E40" s="39"/>
      <c r="F40" s="39"/>
      <c r="G40" s="39"/>
      <c r="H40" s="76"/>
      <c r="I40" s="76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5.25" customHeight="1"/>
    <row r="59" spans="1:2" ht="15">
      <c r="A59" s="2" t="s">
        <v>49</v>
      </c>
      <c r="B59" s="2" t="s">
        <v>14</v>
      </c>
    </row>
    <row r="60" spans="1:14" ht="15">
      <c r="A60" s="59"/>
      <c r="G60" s="27" t="s">
        <v>50</v>
      </c>
      <c r="H60" s="2"/>
      <c r="I60" s="27" t="s">
        <v>289</v>
      </c>
      <c r="L60" s="60"/>
      <c r="M60" s="60"/>
      <c r="N60" s="60"/>
    </row>
    <row r="61" spans="1:14" ht="15">
      <c r="A61" s="4"/>
      <c r="B61" s="4"/>
      <c r="C61" s="4"/>
      <c r="D61" s="4"/>
      <c r="E61" s="4"/>
      <c r="F61" s="4"/>
      <c r="G61" s="27" t="s">
        <v>51</v>
      </c>
      <c r="H61" s="2"/>
      <c r="I61" s="177" t="s">
        <v>290</v>
      </c>
      <c r="L61" s="61"/>
      <c r="M61" s="61"/>
      <c r="N61" s="61"/>
    </row>
    <row r="62" spans="1:14" ht="15">
      <c r="A62" s="4"/>
      <c r="B62" s="4"/>
      <c r="C62" s="4"/>
      <c r="D62" s="4"/>
      <c r="E62" s="4"/>
      <c r="F62" s="4"/>
      <c r="G62" s="118" t="s">
        <v>1</v>
      </c>
      <c r="H62" s="2"/>
      <c r="I62" s="118" t="s">
        <v>1</v>
      </c>
      <c r="L62" s="60"/>
      <c r="M62" s="60"/>
      <c r="N62" s="60"/>
    </row>
    <row r="63" spans="1:14" ht="15">
      <c r="A63" s="62"/>
      <c r="B63" s="2" t="s">
        <v>264</v>
      </c>
      <c r="G63" s="76"/>
      <c r="H63" s="76"/>
      <c r="I63" s="68"/>
      <c r="L63" s="4"/>
      <c r="M63" s="4"/>
      <c r="N63" s="4"/>
    </row>
    <row r="64" spans="1:14" ht="15">
      <c r="A64" s="4"/>
      <c r="B64" s="59" t="s">
        <v>25</v>
      </c>
      <c r="C64" s="59"/>
      <c r="D64" s="59"/>
      <c r="E64" s="59"/>
      <c r="F64" s="59"/>
      <c r="G64" s="39">
        <f>+I64-100612</f>
        <v>36543</v>
      </c>
      <c r="H64" s="39"/>
      <c r="I64" s="39">
        <f>184575-48910+151+1339</f>
        <v>137155</v>
      </c>
      <c r="L64" s="4"/>
      <c r="M64" s="4"/>
      <c r="N64" s="4"/>
    </row>
    <row r="65" spans="1:14" ht="15">
      <c r="A65" s="4"/>
      <c r="B65" s="59" t="s">
        <v>129</v>
      </c>
      <c r="C65" s="59"/>
      <c r="D65" s="59"/>
      <c r="E65" s="59"/>
      <c r="F65" s="59"/>
      <c r="G65" s="86">
        <f>+I65-2649</f>
        <v>665</v>
      </c>
      <c r="H65" s="76"/>
      <c r="I65" s="68">
        <v>3314</v>
      </c>
      <c r="L65" s="4"/>
      <c r="M65" s="4"/>
      <c r="N65" s="4"/>
    </row>
    <row r="66" spans="1:14" ht="15">
      <c r="A66" s="4"/>
      <c r="B66" s="4" t="s">
        <v>417</v>
      </c>
      <c r="C66" s="80"/>
      <c r="D66" s="80"/>
      <c r="E66" s="4"/>
      <c r="F66" s="4"/>
      <c r="G66" s="86">
        <f>+I66--1271</f>
        <v>0</v>
      </c>
      <c r="H66" s="86"/>
      <c r="I66" s="39">
        <f>8276-9547</f>
        <v>-1271</v>
      </c>
      <c r="L66" s="4"/>
      <c r="M66" s="4"/>
      <c r="N66" s="4"/>
    </row>
    <row r="67" spans="2:9" ht="15">
      <c r="B67" s="4" t="s">
        <v>434</v>
      </c>
      <c r="C67" s="80"/>
      <c r="D67" s="80"/>
      <c r="E67" s="4"/>
      <c r="F67" s="4"/>
      <c r="G67" s="86">
        <f>+I67-0</f>
        <v>4401</v>
      </c>
      <c r="H67" s="86"/>
      <c r="I67" s="39">
        <v>4401</v>
      </c>
    </row>
    <row r="68" spans="2:9" ht="15.75" thickBot="1">
      <c r="B68" s="4"/>
      <c r="C68" s="80"/>
      <c r="D68" s="80"/>
      <c r="E68" s="4"/>
      <c r="F68" s="4"/>
      <c r="G68" s="117">
        <f>SUM(G64:G67)</f>
        <v>41609</v>
      </c>
      <c r="H68" s="76"/>
      <c r="I68" s="83">
        <f>SUM(I64:I67)</f>
        <v>143599</v>
      </c>
    </row>
    <row r="69" spans="2:10" ht="11.25" customHeight="1" thickTop="1">
      <c r="B69" s="4"/>
      <c r="C69" s="80"/>
      <c r="D69" s="80"/>
      <c r="E69" s="4"/>
      <c r="F69" s="4"/>
      <c r="G69" s="4"/>
      <c r="H69" s="77"/>
      <c r="I69" s="77"/>
      <c r="J69" s="77"/>
    </row>
    <row r="70" spans="2:4" ht="15">
      <c r="B70" s="2" t="s">
        <v>291</v>
      </c>
      <c r="C70" s="59"/>
      <c r="D70" s="59"/>
    </row>
    <row r="71" ht="15">
      <c r="B71" s="2" t="s">
        <v>292</v>
      </c>
    </row>
    <row r="72" ht="15">
      <c r="B72" s="2" t="s">
        <v>213</v>
      </c>
    </row>
    <row r="74" spans="1:2" ht="15">
      <c r="A74" s="2" t="s">
        <v>54</v>
      </c>
      <c r="B74" s="2" t="s">
        <v>161</v>
      </c>
    </row>
    <row r="75" spans="2:4" ht="15">
      <c r="B75" s="56" t="s">
        <v>240</v>
      </c>
      <c r="C75" s="58"/>
      <c r="D75" s="58"/>
    </row>
    <row r="76" ht="15">
      <c r="B76" s="56" t="s">
        <v>293</v>
      </c>
    </row>
    <row r="77" ht="15">
      <c r="B77" s="56"/>
    </row>
    <row r="78" spans="1:2" ht="15">
      <c r="A78" s="2" t="s">
        <v>53</v>
      </c>
      <c r="B78" s="2" t="s">
        <v>130</v>
      </c>
    </row>
    <row r="79" spans="2:9" ht="12.75" customHeight="1">
      <c r="B79" s="56"/>
      <c r="C79" s="58"/>
      <c r="D79" s="58"/>
      <c r="H79" s="27"/>
      <c r="I79" s="27"/>
    </row>
    <row r="80" spans="2:3" ht="15">
      <c r="B80" s="2" t="s">
        <v>62</v>
      </c>
      <c r="C80" s="2" t="s">
        <v>294</v>
      </c>
    </row>
    <row r="81" spans="3:9" ht="15">
      <c r="C81" s="2" t="s">
        <v>295</v>
      </c>
      <c r="G81" s="160"/>
      <c r="H81" s="161"/>
      <c r="I81" s="161"/>
    </row>
    <row r="82" spans="7:11" ht="12.75" customHeight="1">
      <c r="G82" s="27" t="s">
        <v>50</v>
      </c>
      <c r="H82" s="2"/>
      <c r="I82" s="27" t="s">
        <v>289</v>
      </c>
      <c r="J82" s="79"/>
      <c r="K82" s="79"/>
    </row>
    <row r="83" spans="7:11" ht="12.75" customHeight="1">
      <c r="G83" s="27" t="s">
        <v>51</v>
      </c>
      <c r="H83" s="2"/>
      <c r="I83" s="177" t="s">
        <v>290</v>
      </c>
      <c r="J83" s="79"/>
      <c r="K83" s="79"/>
    </row>
    <row r="84" spans="3:11" ht="12.75" customHeight="1">
      <c r="C84" s="102"/>
      <c r="G84" s="53" t="s">
        <v>1</v>
      </c>
      <c r="I84" s="79" t="s">
        <v>1</v>
      </c>
      <c r="J84" s="79"/>
      <c r="K84" s="79"/>
    </row>
    <row r="85" spans="9:11" ht="12.75" customHeight="1">
      <c r="I85" s="79"/>
      <c r="J85" s="79"/>
      <c r="K85" s="79"/>
    </row>
    <row r="86" spans="3:11" ht="12.75" customHeight="1" thickBot="1">
      <c r="C86" s="2" t="s">
        <v>298</v>
      </c>
      <c r="G86" s="166">
        <f>+I86-0</f>
        <v>20287</v>
      </c>
      <c r="I86" s="165">
        <f>19733+554</f>
        <v>20287</v>
      </c>
      <c r="J86" s="79"/>
      <c r="K86" s="79"/>
    </row>
    <row r="87" spans="9:11" ht="12.75" customHeight="1" thickTop="1">
      <c r="I87" s="79"/>
      <c r="J87" s="79"/>
      <c r="K87" s="79"/>
    </row>
    <row r="88" spans="2:3" ht="15">
      <c r="B88" s="2" t="s">
        <v>63</v>
      </c>
      <c r="C88" s="2" t="s">
        <v>296</v>
      </c>
    </row>
    <row r="89" spans="7:12" ht="15">
      <c r="G89" s="60"/>
      <c r="H89" s="2"/>
      <c r="I89" s="179" t="s">
        <v>1</v>
      </c>
      <c r="L89" s="60"/>
    </row>
    <row r="90" spans="2:12" ht="15.75" thickBot="1">
      <c r="B90" s="2" t="s">
        <v>64</v>
      </c>
      <c r="C90" s="2" t="s">
        <v>418</v>
      </c>
      <c r="G90" s="4"/>
      <c r="I90" s="82">
        <f>3428+1767+19733+554</f>
        <v>25482</v>
      </c>
      <c r="L90" s="4"/>
    </row>
    <row r="91" spans="2:12" ht="16.5" thickBot="1" thickTop="1">
      <c r="B91" s="2" t="s">
        <v>65</v>
      </c>
      <c r="C91" s="2" t="s">
        <v>419</v>
      </c>
      <c r="G91" s="4"/>
      <c r="I91" s="115">
        <f>3261+1056+17703+459</f>
        <v>22479</v>
      </c>
      <c r="L91" s="4"/>
    </row>
    <row r="92" spans="2:12" ht="16.5" thickBot="1" thickTop="1">
      <c r="B92" s="2" t="s">
        <v>66</v>
      </c>
      <c r="C92" s="2" t="s">
        <v>420</v>
      </c>
      <c r="G92" s="4"/>
      <c r="H92" s="2"/>
      <c r="I92" s="82">
        <f>3305+1056+460+17702</f>
        <v>22523</v>
      </c>
      <c r="L92" s="4"/>
    </row>
    <row r="93" spans="8:9" ht="15.75" thickTop="1">
      <c r="H93" s="27"/>
      <c r="I93" s="2"/>
    </row>
    <row r="94" spans="1:2" ht="15">
      <c r="A94" s="2" t="s">
        <v>52</v>
      </c>
      <c r="B94" s="2" t="s">
        <v>187</v>
      </c>
    </row>
    <row r="95" ht="15">
      <c r="B95" s="2" t="s">
        <v>131</v>
      </c>
    </row>
    <row r="96" spans="2:4" ht="12.75" customHeight="1">
      <c r="B96" s="63"/>
      <c r="C96" s="63"/>
      <c r="D96" s="63"/>
    </row>
    <row r="97" spans="2:4" ht="15">
      <c r="B97" s="2" t="s">
        <v>223</v>
      </c>
      <c r="C97" s="63"/>
      <c r="D97" s="63"/>
    </row>
    <row r="98" spans="2:4" ht="15">
      <c r="B98" s="2" t="s">
        <v>124</v>
      </c>
      <c r="C98" s="63"/>
      <c r="D98" s="63"/>
    </row>
    <row r="99" spans="3:4" ht="12.75" customHeight="1">
      <c r="C99" s="63"/>
      <c r="D99" s="63"/>
    </row>
    <row r="100" spans="1:9" ht="15">
      <c r="A100" s="59"/>
      <c r="B100" s="2" t="s">
        <v>188</v>
      </c>
      <c r="H100" s="27"/>
      <c r="I100" s="27"/>
    </row>
    <row r="101" spans="1:9" ht="15">
      <c r="A101" s="59"/>
      <c r="B101" s="2" t="s">
        <v>189</v>
      </c>
      <c r="H101" s="27"/>
      <c r="I101" s="27"/>
    </row>
    <row r="102" spans="1:9" ht="15">
      <c r="A102" s="59"/>
      <c r="B102" s="2" t="s">
        <v>421</v>
      </c>
      <c r="H102" s="27"/>
      <c r="I102" s="27"/>
    </row>
    <row r="103" spans="1:9" ht="15">
      <c r="A103" s="59"/>
      <c r="B103" s="2" t="s">
        <v>232</v>
      </c>
      <c r="H103" s="27"/>
      <c r="I103" s="27"/>
    </row>
    <row r="104" spans="1:9" ht="15">
      <c r="A104" s="59"/>
      <c r="B104" s="2" t="s">
        <v>233</v>
      </c>
      <c r="H104" s="27"/>
      <c r="I104" s="27"/>
    </row>
    <row r="105" spans="1:9" ht="15">
      <c r="A105" s="59"/>
      <c r="B105" s="2" t="s">
        <v>297</v>
      </c>
      <c r="H105" s="27"/>
      <c r="I105" s="27"/>
    </row>
    <row r="106" spans="1:9" ht="15">
      <c r="A106" s="59"/>
      <c r="B106" s="2" t="s">
        <v>234</v>
      </c>
      <c r="H106" s="27"/>
      <c r="I106" s="27"/>
    </row>
    <row r="107" spans="1:9" ht="15">
      <c r="A107" s="59"/>
      <c r="B107" s="2" t="s">
        <v>131</v>
      </c>
      <c r="H107" s="27"/>
      <c r="I107" s="27"/>
    </row>
    <row r="108" spans="1:9" ht="15">
      <c r="A108" s="59"/>
      <c r="H108" s="27"/>
      <c r="I108" s="27"/>
    </row>
    <row r="109" spans="1:9" ht="15">
      <c r="A109" s="59"/>
      <c r="H109" s="27"/>
      <c r="I109" s="27"/>
    </row>
    <row r="110" spans="1:9" ht="15">
      <c r="A110" s="59"/>
      <c r="H110" s="27"/>
      <c r="I110" s="27"/>
    </row>
    <row r="111" spans="1:9" ht="15">
      <c r="A111" s="2" t="s">
        <v>52</v>
      </c>
      <c r="B111" s="2" t="s">
        <v>132</v>
      </c>
      <c r="H111" s="27"/>
      <c r="I111" s="27"/>
    </row>
    <row r="112" spans="1:9" ht="15">
      <c r="A112" s="59"/>
      <c r="B112" s="2" t="s">
        <v>268</v>
      </c>
      <c r="H112" s="27"/>
      <c r="I112" s="27"/>
    </row>
    <row r="113" spans="1:9" ht="15">
      <c r="A113" s="59"/>
      <c r="B113" s="2" t="s">
        <v>267</v>
      </c>
      <c r="H113" s="27"/>
      <c r="I113" s="27"/>
    </row>
    <row r="114" spans="1:9" ht="15">
      <c r="A114" s="59"/>
      <c r="B114" s="2" t="s">
        <v>299</v>
      </c>
      <c r="H114" s="27"/>
      <c r="I114" s="27"/>
    </row>
    <row r="115" spans="1:9" ht="15">
      <c r="A115" s="59"/>
      <c r="B115" s="2" t="s">
        <v>300</v>
      </c>
      <c r="H115" s="27"/>
      <c r="I115" s="27"/>
    </row>
    <row r="116" spans="1:9" ht="15">
      <c r="A116" s="59"/>
      <c r="B116" s="2" t="s">
        <v>301</v>
      </c>
      <c r="H116" s="27"/>
      <c r="I116" s="27"/>
    </row>
    <row r="117" spans="1:9" ht="15">
      <c r="A117" s="59"/>
      <c r="B117" s="2" t="s">
        <v>362</v>
      </c>
      <c r="H117" s="27"/>
      <c r="I117" s="27"/>
    </row>
    <row r="118" spans="1:9" ht="15">
      <c r="A118" s="59"/>
      <c r="I118" s="27"/>
    </row>
    <row r="119" spans="2:9" ht="15">
      <c r="B119" s="2" t="s">
        <v>261</v>
      </c>
      <c r="H119" s="27"/>
      <c r="I119" s="27"/>
    </row>
    <row r="120" spans="1:9" ht="15">
      <c r="A120" s="59"/>
      <c r="B120" s="2" t="s">
        <v>262</v>
      </c>
      <c r="H120" s="27"/>
      <c r="I120" s="27"/>
    </row>
    <row r="121" spans="1:9" ht="15">
      <c r="A121" s="59"/>
      <c r="B121" s="2" t="s">
        <v>263</v>
      </c>
      <c r="H121" s="27"/>
      <c r="I121" s="27"/>
    </row>
    <row r="122" spans="1:9" ht="15">
      <c r="A122" s="59"/>
      <c r="B122" s="2" t="s">
        <v>266</v>
      </c>
      <c r="H122" s="27"/>
      <c r="I122" s="27"/>
    </row>
    <row r="123" spans="1:9" ht="15">
      <c r="A123" s="59"/>
      <c r="B123" s="2" t="s">
        <v>393</v>
      </c>
      <c r="H123" s="27"/>
      <c r="I123" s="27"/>
    </row>
    <row r="124" spans="1:9" ht="15">
      <c r="A124" s="59"/>
      <c r="B124" s="2" t="s">
        <v>394</v>
      </c>
      <c r="H124" s="27"/>
      <c r="I124" s="27"/>
    </row>
    <row r="125" spans="1:9" ht="15">
      <c r="A125" s="59"/>
      <c r="B125" s="2" t="s">
        <v>395</v>
      </c>
      <c r="H125" s="27"/>
      <c r="I125" s="27"/>
    </row>
    <row r="126" spans="1:9" ht="15">
      <c r="A126" s="59"/>
      <c r="B126" s="2" t="s">
        <v>396</v>
      </c>
      <c r="H126" s="27"/>
      <c r="I126" s="27"/>
    </row>
    <row r="127" spans="1:9" ht="15">
      <c r="A127" s="59"/>
      <c r="H127" s="27"/>
      <c r="I127" s="27"/>
    </row>
    <row r="128" spans="1:10" ht="15">
      <c r="A128" s="59"/>
      <c r="B128" s="2" t="s">
        <v>392</v>
      </c>
      <c r="C128" s="162"/>
      <c r="D128" s="162"/>
      <c r="E128" s="162"/>
      <c r="F128" s="162"/>
      <c r="G128" s="162"/>
      <c r="H128" s="163"/>
      <c r="I128" s="181"/>
      <c r="J128" s="161"/>
    </row>
    <row r="129" spans="1:9" ht="15">
      <c r="A129" s="59"/>
      <c r="B129" s="2" t="s">
        <v>302</v>
      </c>
      <c r="H129" s="27"/>
      <c r="I129" s="27"/>
    </row>
    <row r="130" spans="1:9" ht="15">
      <c r="A130" s="59"/>
      <c r="B130" s="2" t="s">
        <v>269</v>
      </c>
      <c r="H130" s="27"/>
      <c r="I130" s="27"/>
    </row>
    <row r="131" spans="1:9" ht="15">
      <c r="A131" s="59"/>
      <c r="B131" s="2" t="s">
        <v>303</v>
      </c>
      <c r="H131" s="27"/>
      <c r="I131" s="27"/>
    </row>
    <row r="132" spans="1:9" ht="15">
      <c r="A132" s="59"/>
      <c r="B132" s="2" t="s">
        <v>304</v>
      </c>
      <c r="H132" s="27"/>
      <c r="I132" s="27"/>
    </row>
    <row r="133" spans="1:9" ht="15">
      <c r="A133" s="59"/>
      <c r="B133" s="2" t="s">
        <v>305</v>
      </c>
      <c r="F133" s="178"/>
      <c r="H133" s="27"/>
      <c r="I133" s="27"/>
    </row>
    <row r="134" spans="5:12" ht="15">
      <c r="E134" s="60"/>
      <c r="F134" s="60"/>
      <c r="G134" s="27"/>
      <c r="I134" s="27"/>
      <c r="J134" s="27"/>
      <c r="K134" s="72"/>
      <c r="L134" s="60"/>
    </row>
    <row r="135" spans="1:12" ht="15">
      <c r="A135" s="2" t="s">
        <v>55</v>
      </c>
      <c r="B135" s="2" t="s">
        <v>306</v>
      </c>
      <c r="E135" s="60"/>
      <c r="F135" s="60"/>
      <c r="G135" s="27"/>
      <c r="I135" s="27"/>
      <c r="J135" s="27"/>
      <c r="K135" s="72"/>
      <c r="L135" s="60"/>
    </row>
    <row r="136" spans="2:12" ht="15">
      <c r="B136" s="2" t="s">
        <v>422</v>
      </c>
      <c r="E136" s="60"/>
      <c r="F136" s="176"/>
      <c r="G136" s="27"/>
      <c r="I136" s="27"/>
      <c r="J136" s="27"/>
      <c r="K136" s="72"/>
      <c r="L136" s="60"/>
    </row>
    <row r="137" spans="2:12" ht="15">
      <c r="B137" s="2" t="s">
        <v>342</v>
      </c>
      <c r="E137" s="60"/>
      <c r="F137" s="60"/>
      <c r="G137" s="27"/>
      <c r="I137" s="177"/>
      <c r="J137" s="177"/>
      <c r="K137" s="72"/>
      <c r="L137" s="60"/>
    </row>
    <row r="138" spans="5:12" ht="15">
      <c r="E138" s="60"/>
      <c r="F138" s="60"/>
      <c r="G138" s="27"/>
      <c r="I138" s="27"/>
      <c r="J138" s="27"/>
      <c r="K138" s="72"/>
      <c r="L138" s="60"/>
    </row>
    <row r="139" spans="1:2" ht="15">
      <c r="A139" s="2" t="s">
        <v>56</v>
      </c>
      <c r="B139" s="2" t="s">
        <v>168</v>
      </c>
    </row>
    <row r="140" ht="15">
      <c r="B140" s="2" t="s">
        <v>169</v>
      </c>
    </row>
    <row r="142" spans="1:2" ht="15">
      <c r="A142" s="2" t="s">
        <v>57</v>
      </c>
      <c r="B142" s="2" t="s">
        <v>167</v>
      </c>
    </row>
    <row r="143" ht="15">
      <c r="B143" s="2" t="s">
        <v>29</v>
      </c>
    </row>
    <row r="145" spans="1:2" ht="15">
      <c r="A145" s="2" t="s">
        <v>58</v>
      </c>
      <c r="B145" s="2" t="s">
        <v>307</v>
      </c>
    </row>
    <row r="146" spans="2:8" ht="15">
      <c r="B146" s="2" t="s">
        <v>363</v>
      </c>
      <c r="H146" s="28"/>
    </row>
    <row r="147" ht="15">
      <c r="B147" s="2" t="s">
        <v>439</v>
      </c>
    </row>
    <row r="148" ht="15">
      <c r="B148" s="2" t="s">
        <v>440</v>
      </c>
    </row>
    <row r="149" ht="15">
      <c r="B149" s="2" t="s">
        <v>442</v>
      </c>
    </row>
    <row r="150" ht="15">
      <c r="B150" s="2" t="s">
        <v>441</v>
      </c>
    </row>
    <row r="161" ht="5.25" customHeight="1"/>
    <row r="162" spans="1:2" ht="15">
      <c r="A162" s="2" t="s">
        <v>59</v>
      </c>
      <c r="B162" s="2" t="s">
        <v>385</v>
      </c>
    </row>
    <row r="163" spans="7:10" ht="15">
      <c r="G163" s="199" t="s">
        <v>156</v>
      </c>
      <c r="H163" s="199"/>
      <c r="I163" s="199"/>
      <c r="J163" s="199"/>
    </row>
    <row r="164" spans="7:10" ht="15">
      <c r="G164" s="27" t="s">
        <v>387</v>
      </c>
      <c r="H164" s="27"/>
      <c r="I164" s="27" t="s">
        <v>386</v>
      </c>
      <c r="J164" s="27"/>
    </row>
    <row r="165" spans="7:10" ht="15">
      <c r="G165" s="187" t="s">
        <v>133</v>
      </c>
      <c r="H165" s="187"/>
      <c r="I165" s="187" t="s">
        <v>135</v>
      </c>
      <c r="J165" s="187"/>
    </row>
    <row r="166" spans="7:10" ht="15">
      <c r="G166" s="27" t="str">
        <f>+PL!F10</f>
        <v>30-4-2004</v>
      </c>
      <c r="H166" s="27" t="str">
        <f>+PL!G10</f>
        <v>30-4-2003</v>
      </c>
      <c r="I166" s="27" t="str">
        <f>+PL!H10</f>
        <v>30-4-2004</v>
      </c>
      <c r="J166" s="27" t="str">
        <f>+PL!I10</f>
        <v>30-4-2003</v>
      </c>
    </row>
    <row r="167" spans="2:8" ht="15">
      <c r="B167" s="2" t="s">
        <v>388</v>
      </c>
      <c r="G167" s="180">
        <f>+PL!F29</f>
        <v>-95456</v>
      </c>
      <c r="H167" s="86">
        <f>+PL!G29</f>
        <v>50574</v>
      </c>
    </row>
    <row r="168" spans="2:8" ht="15">
      <c r="B168" s="2" t="s">
        <v>146</v>
      </c>
      <c r="G168" s="68"/>
      <c r="H168" s="86"/>
    </row>
    <row r="169" spans="2:8" ht="15">
      <c r="B169" s="2" t="s">
        <v>147</v>
      </c>
      <c r="G169" s="68">
        <v>6657</v>
      </c>
      <c r="H169" s="86">
        <v>34243</v>
      </c>
    </row>
    <row r="170" spans="2:8" ht="15.75" thickBot="1">
      <c r="B170" s="2" t="s">
        <v>389</v>
      </c>
      <c r="G170" s="83">
        <f>+G167+G169</f>
        <v>-88799</v>
      </c>
      <c r="H170" s="117">
        <f>+H167+H169</f>
        <v>84817</v>
      </c>
    </row>
    <row r="171" spans="2:10" ht="16.5" thickBot="1" thickTop="1">
      <c r="B171" s="2" t="s">
        <v>390</v>
      </c>
      <c r="G171" s="39"/>
      <c r="H171" s="76"/>
      <c r="I171" s="144">
        <f>+G167/G174*100</f>
        <v>-10.154418303824077</v>
      </c>
      <c r="J171" s="142">
        <f>ROUND(+H167/H174*100,2)</f>
        <v>6.97</v>
      </c>
    </row>
    <row r="172" spans="7:8" ht="8.25" customHeight="1" thickTop="1">
      <c r="G172" s="39"/>
      <c r="H172" s="76"/>
    </row>
    <row r="173" spans="2:11" ht="15">
      <c r="B173" s="2" t="s">
        <v>143</v>
      </c>
      <c r="G173" s="39"/>
      <c r="H173" s="76"/>
      <c r="I173" s="27"/>
      <c r="J173" s="27"/>
      <c r="K173" s="27"/>
    </row>
    <row r="174" spans="2:11" ht="15">
      <c r="B174" s="2" t="s">
        <v>144</v>
      </c>
      <c r="G174" s="39">
        <v>940044</v>
      </c>
      <c r="H174" s="76">
        <v>725644</v>
      </c>
      <c r="I174" s="27"/>
      <c r="J174" s="27"/>
      <c r="K174" s="27"/>
    </row>
    <row r="175" spans="3:11" ht="15">
      <c r="C175" s="2" t="s">
        <v>138</v>
      </c>
      <c r="G175" s="39">
        <v>0</v>
      </c>
      <c r="H175" s="76">
        <v>13959</v>
      </c>
      <c r="I175" s="27"/>
      <c r="J175" s="27"/>
      <c r="K175" s="27"/>
    </row>
    <row r="176" spans="3:11" ht="15">
      <c r="C176" s="2" t="s">
        <v>141</v>
      </c>
      <c r="G176" s="39"/>
      <c r="H176" s="76"/>
      <c r="I176" s="27"/>
      <c r="J176" s="2"/>
      <c r="K176" s="27"/>
    </row>
    <row r="177" spans="3:11" ht="15">
      <c r="C177" s="2" t="s">
        <v>140</v>
      </c>
      <c r="G177" s="39">
        <v>0</v>
      </c>
      <c r="H177" s="76">
        <v>-10294</v>
      </c>
      <c r="I177" s="27"/>
      <c r="J177" s="2"/>
      <c r="K177" s="27"/>
    </row>
    <row r="178" spans="3:11" ht="15">
      <c r="C178" s="2" t="s">
        <v>149</v>
      </c>
      <c r="G178" s="44">
        <v>299976</v>
      </c>
      <c r="H178" s="141">
        <v>537772</v>
      </c>
      <c r="I178" s="84"/>
      <c r="K178" s="84"/>
    </row>
    <row r="179" spans="2:11" ht="15">
      <c r="B179" s="2" t="s">
        <v>139</v>
      </c>
      <c r="G179" s="68"/>
      <c r="H179" s="86"/>
      <c r="I179" s="84"/>
      <c r="K179" s="84"/>
    </row>
    <row r="180" spans="2:11" ht="15.75" thickBot="1">
      <c r="B180" s="2" t="s">
        <v>145</v>
      </c>
      <c r="G180" s="82">
        <f>SUM(G174:G178)</f>
        <v>1240020</v>
      </c>
      <c r="H180" s="82">
        <f>SUM(H174:H178)</f>
        <v>1267081</v>
      </c>
      <c r="I180" s="84"/>
      <c r="K180" s="84"/>
    </row>
    <row r="181" spans="2:11" ht="16.5" thickBot="1" thickTop="1">
      <c r="B181" s="2" t="s">
        <v>391</v>
      </c>
      <c r="I181" s="145">
        <f>+G170/G180*100</f>
        <v>-7.161094175900389</v>
      </c>
      <c r="J181" s="143">
        <f>ROUND(+H170/H180*100,2)</f>
        <v>6.69</v>
      </c>
      <c r="K181" s="84"/>
    </row>
    <row r="182" spans="9:11" ht="15.75" thickTop="1">
      <c r="I182" s="147"/>
      <c r="J182" s="148"/>
      <c r="K182" s="84"/>
    </row>
    <row r="183" spans="9:11" ht="8.25" customHeight="1">
      <c r="I183" s="147"/>
      <c r="J183" s="148"/>
      <c r="K183" s="84"/>
    </row>
    <row r="184" spans="7:10" ht="15">
      <c r="G184" s="199" t="s">
        <v>308</v>
      </c>
      <c r="H184" s="199"/>
      <c r="I184" s="199"/>
      <c r="J184" s="199"/>
    </row>
    <row r="185" spans="7:10" ht="15">
      <c r="G185" s="187" t="s">
        <v>134</v>
      </c>
      <c r="H185" s="187"/>
      <c r="I185" s="187" t="s">
        <v>136</v>
      </c>
      <c r="J185" s="187"/>
    </row>
    <row r="186" spans="7:10" ht="15">
      <c r="G186" s="187" t="s">
        <v>133</v>
      </c>
      <c r="H186" s="187"/>
      <c r="I186" s="187" t="s">
        <v>135</v>
      </c>
      <c r="J186" s="187"/>
    </row>
    <row r="187" spans="7:10" ht="15">
      <c r="G187" s="27" t="str">
        <f>+G166</f>
        <v>30-4-2004</v>
      </c>
      <c r="H187" s="27" t="str">
        <f>+H166</f>
        <v>30-4-2003</v>
      </c>
      <c r="I187" s="27" t="str">
        <f>+I166</f>
        <v>30-4-2004</v>
      </c>
      <c r="J187" s="27" t="str">
        <f>+J166</f>
        <v>30-4-2003</v>
      </c>
    </row>
    <row r="188" spans="2:8" ht="15">
      <c r="B188" s="2" t="s">
        <v>309</v>
      </c>
      <c r="G188" s="180">
        <f>+PL!H29</f>
        <v>134042</v>
      </c>
      <c r="H188" s="86">
        <f>+PL!I29</f>
        <v>257479</v>
      </c>
    </row>
    <row r="189" spans="2:8" ht="15">
      <c r="B189" s="2" t="s">
        <v>146</v>
      </c>
      <c r="G189" s="68"/>
      <c r="H189" s="86"/>
    </row>
    <row r="190" spans="2:8" ht="15">
      <c r="B190" s="2" t="s">
        <v>147</v>
      </c>
      <c r="G190" s="68">
        <v>26998</v>
      </c>
      <c r="H190" s="86">
        <v>24655</v>
      </c>
    </row>
    <row r="191" spans="2:8" ht="15.75" thickBot="1">
      <c r="B191" s="2" t="s">
        <v>148</v>
      </c>
      <c r="G191" s="83">
        <f>+G188+G190</f>
        <v>161040</v>
      </c>
      <c r="H191" s="117">
        <f>+H188+H190</f>
        <v>282134</v>
      </c>
    </row>
    <row r="192" spans="2:10" ht="16.5" thickBot="1" thickTop="1">
      <c r="B192" s="2" t="s">
        <v>137</v>
      </c>
      <c r="G192" s="39"/>
      <c r="H192" s="76"/>
      <c r="I192" s="144">
        <f>+G188/G195*100</f>
        <v>15.860706171904582</v>
      </c>
      <c r="J192" s="142">
        <f>+H188/H195*100</f>
        <v>39.8358474510714</v>
      </c>
    </row>
    <row r="193" spans="7:8" ht="15.75" thickTop="1">
      <c r="G193" s="39"/>
      <c r="H193" s="76"/>
    </row>
    <row r="194" spans="2:11" ht="15">
      <c r="B194" s="2" t="s">
        <v>143</v>
      </c>
      <c r="G194" s="39"/>
      <c r="H194" s="76"/>
      <c r="I194" s="27"/>
      <c r="J194" s="27"/>
      <c r="K194" s="27"/>
    </row>
    <row r="195" spans="2:11" ht="15">
      <c r="B195" s="2" t="s">
        <v>144</v>
      </c>
      <c r="G195" s="39">
        <v>845120</v>
      </c>
      <c r="H195" s="76">
        <v>646350</v>
      </c>
      <c r="I195" s="27"/>
      <c r="J195" s="27"/>
      <c r="K195" s="27"/>
    </row>
    <row r="196" spans="3:11" ht="15">
      <c r="C196" s="2" t="s">
        <v>138</v>
      </c>
      <c r="G196" s="39">
        <v>0</v>
      </c>
      <c r="H196" s="76">
        <v>13959</v>
      </c>
      <c r="I196" s="27"/>
      <c r="J196" s="27"/>
      <c r="K196" s="27"/>
    </row>
    <row r="197" spans="3:11" ht="15">
      <c r="C197" s="2" t="s">
        <v>141</v>
      </c>
      <c r="G197" s="39"/>
      <c r="H197" s="76"/>
      <c r="I197" s="27"/>
      <c r="J197" s="2"/>
      <c r="K197" s="27"/>
    </row>
    <row r="198" spans="3:11" ht="15">
      <c r="C198" s="2" t="s">
        <v>140</v>
      </c>
      <c r="G198" s="39">
        <v>0</v>
      </c>
      <c r="H198" s="76">
        <v>-10294</v>
      </c>
      <c r="I198" s="27"/>
      <c r="J198" s="2"/>
      <c r="K198" s="27"/>
    </row>
    <row r="199" spans="3:11" ht="15">
      <c r="C199" s="2" t="s">
        <v>149</v>
      </c>
      <c r="G199" s="44">
        <v>313928</v>
      </c>
      <c r="H199" s="141">
        <v>396320</v>
      </c>
      <c r="I199" s="84"/>
      <c r="K199" s="84"/>
    </row>
    <row r="200" spans="2:11" ht="15">
      <c r="B200" s="2" t="s">
        <v>139</v>
      </c>
      <c r="G200" s="68"/>
      <c r="H200" s="86"/>
      <c r="I200" s="84"/>
      <c r="K200" s="84"/>
    </row>
    <row r="201" spans="2:11" ht="15.75" thickBot="1">
      <c r="B201" s="2" t="s">
        <v>145</v>
      </c>
      <c r="G201" s="82">
        <f>SUM(G195:G199)</f>
        <v>1159048</v>
      </c>
      <c r="H201" s="82">
        <f>SUM(H195:H199)</f>
        <v>1046335</v>
      </c>
      <c r="I201" s="84"/>
      <c r="K201" s="84"/>
    </row>
    <row r="202" spans="2:11" ht="16.5" thickBot="1" thickTop="1">
      <c r="B202" s="2" t="s">
        <v>142</v>
      </c>
      <c r="I202" s="145">
        <f>+G191/G201*100</f>
        <v>13.89416141523043</v>
      </c>
      <c r="J202" s="143">
        <f>+H191/H201*100</f>
        <v>26.964022038830777</v>
      </c>
      <c r="K202" s="84"/>
    </row>
    <row r="203" spans="9:11" ht="15.75" thickTop="1">
      <c r="I203" s="147"/>
      <c r="J203" s="148"/>
      <c r="K203" s="84"/>
    </row>
    <row r="204" spans="2:11" ht="15">
      <c r="B204" s="2" t="s">
        <v>436</v>
      </c>
      <c r="I204" s="147"/>
      <c r="J204" s="148"/>
      <c r="K204" s="84"/>
    </row>
    <row r="205" spans="2:11" ht="15">
      <c r="B205" s="2" t="s">
        <v>449</v>
      </c>
      <c r="I205" s="147"/>
      <c r="J205" s="148"/>
      <c r="K205" s="84"/>
    </row>
    <row r="206" spans="2:11" ht="15">
      <c r="B206" s="2" t="s">
        <v>437</v>
      </c>
      <c r="I206" s="84"/>
      <c r="K206" s="84"/>
    </row>
    <row r="207" spans="2:11" ht="15">
      <c r="B207" s="2" t="s">
        <v>438</v>
      </c>
      <c r="I207" s="84"/>
      <c r="K207" s="84"/>
    </row>
    <row r="208" spans="9:11" ht="15.75" customHeight="1">
      <c r="I208" s="84"/>
      <c r="K208" s="84"/>
    </row>
    <row r="209" spans="9:11" ht="15.75" customHeight="1">
      <c r="I209" s="84"/>
      <c r="K209" s="84"/>
    </row>
    <row r="210" spans="1:11" ht="15">
      <c r="A210" s="2" t="s">
        <v>74</v>
      </c>
      <c r="B210" s="2" t="s">
        <v>75</v>
      </c>
      <c r="I210" s="84"/>
      <c r="K210" s="84"/>
    </row>
    <row r="224" ht="15">
      <c r="J224" s="27"/>
    </row>
  </sheetData>
  <mergeCells count="8">
    <mergeCell ref="G163:J163"/>
    <mergeCell ref="G165:H165"/>
    <mergeCell ref="I165:J165"/>
    <mergeCell ref="G184:J184"/>
    <mergeCell ref="G185:H185"/>
    <mergeCell ref="I185:J185"/>
    <mergeCell ref="G186:H186"/>
    <mergeCell ref="I186:J186"/>
  </mergeCells>
  <printOptions/>
  <pageMargins left="0.75" right="0.49" top="0.86" bottom="0.81" header="0.5" footer="0.5"/>
  <pageSetup firstPageNumber="9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30-4-2004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Berjaya Group Berhad</cp:lastModifiedBy>
  <cp:lastPrinted>2004-06-18T06:36:57Z</cp:lastPrinted>
  <dcterms:created xsi:type="dcterms:W3CDTF">1996-10-14T23:33:28Z</dcterms:created>
  <dcterms:modified xsi:type="dcterms:W3CDTF">2004-06-12T08:36:08Z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