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'BS'!$A$1:$I$71</definedName>
    <definedName name="_xlnm.Print_Area" localSheetId="4">'CF'!$A$1:$J$61</definedName>
    <definedName name="_xlnm.Print_Area" localSheetId="5">'Notes'!$A$1:$P$163</definedName>
    <definedName name="_xlnm.Print_Area" localSheetId="6">'Notes (2)'!$A$1:$K$208</definedName>
    <definedName name="_xlnm.Print_Area" localSheetId="0">'PL'!$A$1:$I$49</definedName>
    <definedName name="_xlnm.Print_Area" localSheetId="3">'SICE'!$A$1:$K$54</definedName>
  </definedNames>
  <calcPr fullCalcOnLoad="1"/>
</workbook>
</file>

<file path=xl/sharedStrings.xml><?xml version="1.0" encoding="utf-8"?>
<sst xmlns="http://schemas.openxmlformats.org/spreadsheetml/2006/main" count="490" uniqueCount="406">
  <si>
    <t>5 - 7</t>
  </si>
  <si>
    <t>3 months ended</t>
  </si>
  <si>
    <t>RM'000</t>
  </si>
  <si>
    <t>REVENUE</t>
  </si>
  <si>
    <t>Non-operating income</t>
  </si>
  <si>
    <t>Finance costs</t>
  </si>
  <si>
    <t>PROFIT BEFORE TAXATION</t>
  </si>
  <si>
    <t>TAXATION</t>
  </si>
  <si>
    <t>PROFIT AFTER TAXATION</t>
  </si>
  <si>
    <t>PROFIT ATTRIBUTABLE TO</t>
  </si>
  <si>
    <t xml:space="preserve">  -Basic</t>
  </si>
  <si>
    <t xml:space="preserve"> -Diluted</t>
  </si>
  <si>
    <t>Minority interests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</si>
  <si>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</si>
  <si>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</si>
  <si>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</si>
  <si>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</si>
  <si>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</si>
  <si>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</si>
  <si>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</si>
  <si>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</si>
  <si>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</si>
  <si>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</si>
  <si>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</si>
  <si>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</si>
  <si>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</si>
  <si>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NOTES TO THE INTERIM FINANCIAL REPORT</t>
  </si>
  <si>
    <t>Group</t>
  </si>
  <si>
    <t>Property, plant and equipment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</si>
  <si>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</si>
  <si>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</si>
  <si>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</si>
  <si>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</si>
  <si>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</si>
  <si>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</si>
  <si>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</si>
  <si>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</si>
  <si>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</si>
  <si>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</si>
  <si>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</si>
  <si>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</si>
  <si>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</si>
  <si>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</si>
  <si>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</si>
  <si>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</si>
  <si>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</si>
  <si>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</si>
  <si>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</si>
  <si>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The interim financial report is not audited and has been prepared in compliance with MASB 26, Interim</t>
  </si>
  <si>
    <t>Financial Reporting.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</si>
  <si>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</si>
  <si>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</si>
  <si>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</si>
  <si>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</si>
  <si>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</si>
  <si>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</si>
  <si>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</si>
  <si>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</si>
  <si>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</si>
  <si>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</si>
  <si>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</si>
  <si>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</si>
  <si>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</si>
  <si>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</si>
  <si>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</si>
  <si>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</si>
  <si>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</si>
  <si>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EARNINGS PER SHARE (SEN)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</si>
  <si>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</si>
  <si>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</si>
  <si>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</si>
  <si>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</si>
  <si>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</si>
  <si>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</si>
  <si>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</si>
  <si>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</si>
  <si>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</si>
  <si>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</si>
  <si>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</si>
  <si>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</si>
  <si>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</si>
  <si>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</si>
  <si>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</si>
  <si>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</si>
  <si>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</si>
  <si>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</si>
  <si>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</si>
  <si>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</si>
  <si>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Interim Financial Report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</si>
  <si>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</si>
  <si>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</si>
  <si>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</si>
  <si>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</si>
  <si>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</si>
  <si>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</si>
  <si>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</si>
  <si>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</si>
  <si>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</si>
  <si>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</si>
  <si>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</si>
  <si>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</si>
  <si>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The interim financial report should be read in conjunction with the audited financial statements of the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</si>
  <si>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</si>
  <si>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</si>
  <si>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</si>
  <si>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</si>
  <si>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</si>
  <si>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 xml:space="preserve">There were no purchases and disposals of quoted securities during the current quarter and </t>
  </si>
  <si>
    <t>Berjaya Sports Toto Berhad</t>
  </si>
  <si>
    <t>(Company no: 9109-K)</t>
  </si>
  <si>
    <t>PROFIT FROM OPERATIONS</t>
  </si>
  <si>
    <t>Long term investments</t>
  </si>
  <si>
    <t>Other intangible asset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</si>
  <si>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</si>
  <si>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</si>
  <si>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</si>
  <si>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</si>
  <si>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</si>
  <si>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</si>
  <si>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</si>
  <si>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</si>
  <si>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</si>
  <si>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</si>
  <si>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</si>
  <si>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</si>
  <si>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</si>
  <si>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</si>
  <si>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</si>
  <si>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</si>
  <si>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</si>
  <si>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</si>
  <si>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</si>
  <si>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</si>
  <si>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</si>
  <si>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</si>
  <si>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</si>
  <si>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Reduction due to repayment of loan</t>
  </si>
  <si>
    <t>A guarantee fee is receivable by the Company.</t>
  </si>
  <si>
    <t>-   Foreign countries taxation</t>
  </si>
  <si>
    <t>The particulars of the acquisition and disposal of quoted investments by the Group were as follows :</t>
  </si>
  <si>
    <t>Total quoted long term investment at cost</t>
  </si>
  <si>
    <t>Total quoted long term investment at book value</t>
  </si>
  <si>
    <t>Total quoted long term investment at market value</t>
  </si>
  <si>
    <t>announcement.</t>
  </si>
  <si>
    <t xml:space="preserve">On 23 January 2002, Berjaya Land Berhad ("BLB") gave the Company a written undertaking </t>
  </si>
  <si>
    <t>The basic and diluted earnings per share are calculated as follows :</t>
  </si>
  <si>
    <t>(RM'000)</t>
  </si>
  <si>
    <t xml:space="preserve">Income </t>
  </si>
  <si>
    <t>(sen)</t>
  </si>
  <si>
    <t xml:space="preserve">Earnings per share </t>
  </si>
  <si>
    <t>Net profit for the period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</si>
  <si>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</si>
  <si>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</si>
  <si>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</si>
  <si>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</si>
  <si>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</si>
  <si>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</si>
  <si>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</si>
  <si>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</si>
  <si>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</si>
  <si>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</si>
  <si>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</si>
  <si>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</si>
  <si>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</si>
  <si>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</si>
  <si>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</si>
  <si>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</si>
  <si>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</si>
  <si>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</si>
  <si>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</si>
  <si>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</si>
  <si>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MINORITY INTERESTS</t>
  </si>
  <si>
    <t>The annexed notes form an integral part of this interim financial report.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</si>
  <si>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</si>
  <si>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</si>
  <si>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</si>
  <si>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</si>
  <si>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</si>
  <si>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</si>
  <si>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</si>
  <si>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</si>
  <si>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>nominal value of ICULS plus RM0.20 in cash for every one fully paid ordinary share.  A total of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</si>
  <si>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</si>
  <si>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</si>
  <si>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</si>
  <si>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</si>
  <si>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Other receipts</t>
  </si>
  <si>
    <t>INVESTING ACTIVITIES</t>
  </si>
  <si>
    <t>Acquisition of property, plant and equipment</t>
  </si>
  <si>
    <t>FINANCING ACTIVITIES</t>
  </si>
  <si>
    <t>Issue of ordinary shares</t>
  </si>
  <si>
    <t>Treasury shares</t>
  </si>
  <si>
    <t>Other payments for financing activities</t>
  </si>
  <si>
    <t>Receipts from customers</t>
  </si>
  <si>
    <t>Disposal of property, plant and equipment</t>
  </si>
  <si>
    <t>Acquisition of other investments, including ICULS bought back</t>
  </si>
  <si>
    <t>Dividends paid</t>
  </si>
  <si>
    <t>Inter-company receipt</t>
  </si>
  <si>
    <t>Other receipt from investing activities</t>
  </si>
  <si>
    <t>30-4-2003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</si>
  <si>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</si>
  <si>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</si>
  <si>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</si>
  <si>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</si>
  <si>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</si>
  <si>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</si>
  <si>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</si>
  <si>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</si>
  <si>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>Net tangible assets per share (RM)     - Basic</t>
  </si>
  <si>
    <t xml:space="preserve">NET EQUITY FUNDS </t>
  </si>
  <si>
    <t>8% IRREDEEMABLE CONVERTIBLE UNSECURED LOAN</t>
  </si>
  <si>
    <t>CAPITAL FUNDS</t>
  </si>
  <si>
    <t>royalties and other operating expenses</t>
  </si>
  <si>
    <t xml:space="preserve">Payments to prize winners, suppliers, duties, taxes, </t>
  </si>
  <si>
    <t>CASH &amp; CASH EQUIVALENTS AT 1 MAY</t>
  </si>
  <si>
    <t>ICULS interest paid</t>
  </si>
  <si>
    <t xml:space="preserve"> Basic  :  Net equity funds less ICULS - equity component divided by the number of outstanding shares in issue with voting rights.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</si>
  <si>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</si>
  <si>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</si>
  <si>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>component</t>
  </si>
  <si>
    <t>ICULS-equity</t>
  </si>
  <si>
    <t>ICULS - equity component</t>
  </si>
  <si>
    <t>PROVISIONS</t>
  </si>
  <si>
    <t>Trade and other payables</t>
  </si>
  <si>
    <t>Trade and other receivables</t>
  </si>
  <si>
    <t xml:space="preserve">At 1-5-2003 </t>
  </si>
  <si>
    <t>statements for the year ended 30 April 2003 have been applied in the preparation of the quarterly</t>
  </si>
  <si>
    <t xml:space="preserve">financial statements under review. </t>
  </si>
  <si>
    <t>annual report as no revaluation has been carried out since 30 April 2003.</t>
  </si>
  <si>
    <t xml:space="preserve">The changes in contingent liabilities since the last audited balance sheet date as at 30 April 2003 </t>
  </si>
  <si>
    <t>Balance as at 1 May 2003</t>
  </si>
  <si>
    <t>July 2003</t>
  </si>
  <si>
    <t>Increase in treasury shares for the period</t>
  </si>
  <si>
    <t>Not applicable.</t>
  </si>
  <si>
    <t>Financial period</t>
  </si>
  <si>
    <t>disallowed for taxation purposes.</t>
  </si>
  <si>
    <t>on 5 August 2002.  BLB has also given an undertaking that it will ensure that at least</t>
  </si>
  <si>
    <t>RM192.374 million ICULS, comprising 50% of the ICULS beneficially owned by the BLB</t>
  </si>
  <si>
    <t>group will be redeemed from the relevant lenders of Berjaya Group Berhad ("BGB") group</t>
  </si>
  <si>
    <t>of companies within 60 days after the listing of and quotation for the Company's ICULS on</t>
  </si>
  <si>
    <t>(ICULS conversion to shares)</t>
  </si>
  <si>
    <t>Company for the year ended 30 April 2003.</t>
  </si>
  <si>
    <t>The audit report of the Company's most recent annual audited financial statements does not contain any</t>
  </si>
  <si>
    <t>Save as disclosed in Note B8, there were no other unusual items as a result of their nature, size</t>
  </si>
  <si>
    <t>Liability</t>
  </si>
  <si>
    <t>Equity</t>
  </si>
  <si>
    <t>Conversion of ICULS into ordinary shares</t>
  </si>
  <si>
    <t>ICULS bought back by a subsidiary company</t>
  </si>
  <si>
    <t>ICULS extinguished in previous year</t>
  </si>
  <si>
    <t>ICULS - liability component classified under other payables</t>
  </si>
  <si>
    <t>The effective tax rate on the Group's current quarter profit and profit for financial period ended</t>
  </si>
  <si>
    <t>The status of conditions imposed by the Securities Commission pertaining to the issuance of ICULS</t>
  </si>
  <si>
    <t>INCREASE IN CASH AND CASH EQUIVALENTS</t>
  </si>
  <si>
    <t>Group level are as follows :</t>
  </si>
  <si>
    <t>Non-current</t>
  </si>
  <si>
    <t xml:space="preserve">    the following balance sheet amounts   :</t>
  </si>
  <si>
    <t>At 1-5-2002</t>
  </si>
  <si>
    <t>Distribution of special dividend</t>
  </si>
  <si>
    <t xml:space="preserve">Repayment of hire purchase and borrowings </t>
  </si>
  <si>
    <t>Issue of ICULS</t>
  </si>
  <si>
    <t xml:space="preserve">or incidence that had affected assets, liabilities, equity, net income or cash flows for the financial </t>
  </si>
  <si>
    <t>There were no changes in estimates reported in the prior interim periods of the current financial</t>
  </si>
  <si>
    <t>year or prior financial year that had a material effect in the current quarter.</t>
  </si>
  <si>
    <t>August 2003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</si>
  <si>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</si>
  <si>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</si>
  <si>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</si>
  <si>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NON-CURRENT ASSETS</t>
  </si>
  <si>
    <t>8 - 11</t>
  </si>
  <si>
    <t>The net tangible assets per share is calculated based on the following :</t>
  </si>
  <si>
    <t>The net assets per share is calculated based on the following :</t>
  </si>
  <si>
    <t>Amount due from related parties</t>
  </si>
  <si>
    <t>Amount due to related parties</t>
  </si>
  <si>
    <t xml:space="preserve">profits / (losses) on sale of properties and there were no profits / (losses) on sale of unquoted investments </t>
  </si>
  <si>
    <t>Distribution of dividend</t>
  </si>
  <si>
    <t>Acquisition of associated company</t>
  </si>
  <si>
    <t>Reserves</t>
  </si>
  <si>
    <t>Repayment to related parties</t>
  </si>
  <si>
    <t xml:space="preserve">                 conversion to shares of ICULS in issue.</t>
  </si>
  <si>
    <t xml:space="preserve"> Dilutive  :  Net equity funds divided by the aggregate number of outstanding shares in issue with voting rights and potential </t>
  </si>
  <si>
    <t xml:space="preserve">                 outstanding shares in issue with voting rights and potential conversion to shares of ICULS in issue.</t>
  </si>
  <si>
    <t xml:space="preserve"> Dilutive  :  Net equity funds less goodwill on consolidation and other intangible asset divided by the aggregate number of </t>
  </si>
  <si>
    <t>ordinary shares of RM1.00 each representing 30% equity interest in Astral Panorama Technologies</t>
  </si>
  <si>
    <t xml:space="preserve">There were no changes in the composition of the Company for the current quarter and financial period </t>
  </si>
  <si>
    <t>Sdn Bhd ("APT") by one of its wholly-owned subsidiary for a consideration of RM5.5 million.  The principal</t>
  </si>
  <si>
    <t>activities of APT are the manufacture and marketing of a multiple-currency note authentication equipment</t>
  </si>
  <si>
    <t>Over provision in prior year</t>
  </si>
  <si>
    <t>term investments, restructuring and discontinuing operations except for the subscription of 3.45 million</t>
  </si>
  <si>
    <t>UNAUDITED INTERIM FINANCIAL REPORT FOR THE PERIOD ENDED 31 JANUARY 2004</t>
  </si>
  <si>
    <t>9 months ended</t>
  </si>
  <si>
    <t>31-1-2004</t>
  </si>
  <si>
    <t>31-1-2003</t>
  </si>
  <si>
    <t>At 31-1-2003</t>
  </si>
  <si>
    <t>Overprovision of dividend in prior year</t>
  </si>
  <si>
    <t>9-month ended</t>
  </si>
  <si>
    <t>CASH &amp; CASH EQUIVALENTS AT 31 JANUARY</t>
  </si>
  <si>
    <t>Purchase of treasury shares by a subsidiary company</t>
  </si>
  <si>
    <t>period ended 31 January 2004.</t>
  </si>
  <si>
    <t>During the third quarter ended 31 January 2004, there were 1,041,280 new ordinary shares issued</t>
  </si>
  <si>
    <t xml:space="preserve">pursuant to the Employees' Share Option Scheme ("ESOS").  There were no additional shares </t>
  </si>
  <si>
    <t>bought back from the open market during the third quarter.  The cumulative shares bought back</t>
  </si>
  <si>
    <t>are being held as treasury shares with none of the shares being cancelled or resold during the</t>
  </si>
  <si>
    <t xml:space="preserve">third quarter ended 31 January 2004. </t>
  </si>
  <si>
    <t>During the third quarter ended 31 January 2004, a total of 64,484,884 new ordinary shares of RM1.00</t>
  </si>
  <si>
    <t>each were issued when RM64,484,884 ICULS were converted into shares at the rate of RM1.00</t>
  </si>
  <si>
    <t>1,000 new ordinary shares of RM1.00 each were issued via the conversion of RM1,200 ICULS at</t>
  </si>
  <si>
    <t>the rate of RM1.20 nominal value of ICULS for every one fully paid ordinary share.</t>
  </si>
  <si>
    <t>The cumulative shares issued under the ESOS for the financial period ended 31 January 2004 (including</t>
  </si>
  <si>
    <t xml:space="preserve">the 10,689,600 cumulative new ordinary shares issued under the ESOS up to the second quarter ended </t>
  </si>
  <si>
    <t xml:space="preserve">31 October 2003) was 11,730,880.  The cumulative new ordinary shares issued as a result of the ICULS </t>
  </si>
  <si>
    <t xml:space="preserve">conversion was 133,166,534.  The cumulative shares bought back for the financial period ended </t>
  </si>
  <si>
    <t xml:space="preserve">31 January 2004 was 2,250,000.  </t>
  </si>
  <si>
    <t>The number of treasury shares held in hand as at 31 January 2004 are as follows :</t>
  </si>
  <si>
    <t>Total treasury shares as at 31 January 2004</t>
  </si>
  <si>
    <t>As at 31 January 2004, the number of outstanding shares in issue and fully paid with voting rights</t>
  </si>
  <si>
    <t>was 909,112,220 (30 April 2003 : 766,464,806) ordinary shares of RM1.00 each.</t>
  </si>
  <si>
    <t>The movements of the non-current ICULS during the financial period ended 31 January 2004 at</t>
  </si>
  <si>
    <t>Segmental revenue and results for the financial period ended 31 January 2004 were as follows :</t>
  </si>
  <si>
    <t>There were no material subsequent events for the financial  period ended 31 January 2004 up to the</t>
  </si>
  <si>
    <t>ended 31 January 2004 including business combination, acquisition or disposal of subsidiaries and long</t>
  </si>
  <si>
    <t>Balance as at 31 January 2004</t>
  </si>
  <si>
    <t>The outstanding ICULS at Company level as at 31 January 2004 are as follows :</t>
  </si>
  <si>
    <t>Non-current ICULS balance as at 31 January 2004 at Group level</t>
  </si>
  <si>
    <t>Total ICULS bought back by a subsidiary company as at 31 January 2004</t>
  </si>
  <si>
    <t>Total ICULS balance as at 31 January 2004 at Company level</t>
  </si>
  <si>
    <t xml:space="preserve">On 16 June 2003, the Company paid the second interim dividend in respect of the financial </t>
  </si>
  <si>
    <t>year ended 30 April 2003, of 5 sen per share on 725,123,295 ordinary shares with voting rights,</t>
  </si>
  <si>
    <t>less income tax of 28% amounted to RM26,104,439.</t>
  </si>
  <si>
    <t>On 8 December 2003, the Company paid the final dividend in respect of the financial year ended</t>
  </si>
  <si>
    <t>Subsequent to the financial period ended 31 January 2004, the Company paid the first interim dividend</t>
  </si>
  <si>
    <t xml:space="preserve">Balance as at 1 May 2003 </t>
  </si>
  <si>
    <t>Reduction due to redemption of the Notes</t>
  </si>
  <si>
    <t xml:space="preserve">Guarantee given to Noteholders for Secured </t>
  </si>
  <si>
    <t>Guarantee given to a financial institution for facility granted to a related party :</t>
  </si>
  <si>
    <t>30 April 2003, of 28 sen per share on 774,904,406 ordinary shares with voting rights, less income</t>
  </si>
  <si>
    <t>tax of 28% amounted to RM156,220,729.</t>
  </si>
  <si>
    <t xml:space="preserve">  Floating Rate Notes issued by a related party :</t>
  </si>
  <si>
    <t>ended 31 January 2004</t>
  </si>
  <si>
    <t>31 January 2004 was higher than the statutory tax rate mainly due to certain expenses being</t>
  </si>
  <si>
    <t>for the current quarter and the financial period ended 31 January 2004.</t>
  </si>
  <si>
    <t>financial period ended 31 January 2004.</t>
  </si>
  <si>
    <t>Investments in quoted securities as at 31 January 2004 were as follows :</t>
  </si>
  <si>
    <t xml:space="preserve">wholly-owned subsidiaries up to an amount not exceeding RM1.2 billion.  As at 31 January 2004, a </t>
  </si>
  <si>
    <t>purchase of additional ICULS after the financial period ended 31 January 2004 up to the date of this</t>
  </si>
  <si>
    <t>Additional Information Required by the MSEB Listing Requirements</t>
  </si>
  <si>
    <t>ADDITIONAL INFORMATION REQUIRED BY THE MSEB LISTING REQUIREMENTS</t>
  </si>
  <si>
    <t>The Group's bank borrowings as at 31 January 2004 consisted of secured short term borrowings by an</t>
  </si>
  <si>
    <t>the Malaysia Securities Exchange Berhad ("MSEB").</t>
  </si>
  <si>
    <t>Group (9-month period)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</si>
  <si>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</si>
  <si>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</si>
  <si>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</si>
  <si>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The principal subsidiary, Sports Toto Malaysia Sdn Bhd ("Sports Toto"), achieved a commendable</t>
  </si>
  <si>
    <t>increase in revenue and pre-tax profit of 26% and 12% respectively.  The higher revenue in the</t>
  </si>
  <si>
    <t>current quarter under review was due to stronger growth in sales of its 4 Digit game and higher sales</t>
  </si>
  <si>
    <t>two draws more than the previous corresponding quarter.  The relatively higher prize payout of the</t>
  </si>
  <si>
    <t>4 Digit game had attributed to the lower increase in pre-tax profit compared to the increase in revenue</t>
  </si>
  <si>
    <t>in the current quarter under review.</t>
  </si>
  <si>
    <t xml:space="preserve">of February which was in the fourth quarter of the previous financial year.  The current quarter also had </t>
  </si>
  <si>
    <t>For the 9-month period under review, the Group achieved an increase in revenue and pre-tax profit of</t>
  </si>
  <si>
    <t xml:space="preserve">Sports Toto, the principal subsidiary registered a revenue of RM1.804 billion, representing an increase </t>
  </si>
  <si>
    <t>of 18% over the previous year's corresponding period.  The increase was attributed to the stronger</t>
  </si>
  <si>
    <t xml:space="preserve">growth in sales of its 4 Digit game, higher sales during the Chinese New Year festive month in </t>
  </si>
  <si>
    <t>January 2004, as well as the overall improvement in the economy.  The current period also had</t>
  </si>
  <si>
    <t>As compared to the preceding quarter ended 31 October 2003, the Group registered an increase</t>
  </si>
  <si>
    <t>Sports Toto achieved a growth in revenue and pre-tax profit of 10% and 14% respectively as compared</t>
  </si>
  <si>
    <t>sales attained during the Chinese New Year festive month in January as well as the additional two</t>
  </si>
  <si>
    <t>draws in the current quarter under review.  The improvement in results was also due to lower</t>
  </si>
  <si>
    <t>prize payout in the quarter under review.</t>
  </si>
  <si>
    <t>remaining quarter of the financial year ending 30 April 2004 will be good.</t>
  </si>
  <si>
    <t xml:space="preserve">overseas subsidiary company amounted to USD1,420,000.  The US dollars denominated borrowings </t>
  </si>
  <si>
    <t>was converted at the rate prevailing as at 31 January 2004 and this was equivalent to RM5,396,000.</t>
  </si>
  <si>
    <t>Based on the results for the period:-</t>
  </si>
  <si>
    <t>During the financial period ended 31 January 2004, the Company had paid the following dividends :</t>
  </si>
  <si>
    <t>855,421,270 ordinary shares with voting rights, less income tax of 28% amounted to RM49,272,266.</t>
  </si>
  <si>
    <t xml:space="preserve">on 23 February 2004, in respect of the financial year ending 30 April 2004, of 8 sen per share on </t>
  </si>
  <si>
    <t xml:space="preserve">to the preceding quarter ended 31 October 2003.  The increase was mainly attributed to the higher </t>
  </si>
  <si>
    <t xml:space="preserve">In view of the spill over effect of the Chinese New Year festive period to February and the expected </t>
  </si>
  <si>
    <t>overall increase in consumer spending, the Directors anticipate that the performance of the Group for the</t>
  </si>
  <si>
    <t>As compared to the corresponding quarter ended 31 January 2003, the Group achieved a  23% and</t>
  </si>
  <si>
    <t>14% growth in revenue and pre-tax profit respectively.</t>
  </si>
  <si>
    <t>16% and 9% respectively as compared to the previous year's corresponding period.</t>
  </si>
  <si>
    <t>in revenue and pre-tax profit of 10% and 17% respectively.</t>
  </si>
  <si>
    <t>two draws more than the previous year's corresponding period.  However, the lower increase in</t>
  </si>
  <si>
    <t>pre-tax profit of 10% was attributed to the higher prize payout of the 4 Digit game.</t>
  </si>
  <si>
    <t>Net cash generated from investing activities</t>
  </si>
  <si>
    <t>The Board does not recommend the payment of dividend for the third quarter ended 31 January 2004.</t>
  </si>
  <si>
    <t>The first interim dividend of RM0.08 per share less 28% income tax was paid on 23 February 2004.</t>
  </si>
  <si>
    <t>The total gross dividend distribution per share in respect of the financial period ended 31 January</t>
  </si>
  <si>
    <t>2004 is RM0.08 (previous year corresponding financial period ended 31 January 2003 : RM0.10</t>
  </si>
  <si>
    <t>per share less 28% income tax).</t>
  </si>
  <si>
    <t xml:space="preserve">As at 19 February 2004, the BLB group beneficially owns a balance of RM121,291,727 nominal value </t>
  </si>
  <si>
    <t xml:space="preserve">As the Company has no immediate plans to redeploy such funds, the Board would propose to </t>
  </si>
  <si>
    <t>distribute any surplus funds to its shareholders.  Details of the aforesaid will be announced in</t>
  </si>
  <si>
    <t>due course.  Subsequently on 11 February 2004, BLB announced a revision to its proposal to now</t>
  </si>
  <si>
    <t>undertake a placement of up to 200 million ordinary shares of RM1.00 each and / or up to RM200 million</t>
  </si>
  <si>
    <t>nominal value of ICULS in the Company instead of only a placement of up to 200 million ordinary</t>
  </si>
  <si>
    <t>shares of RM1.00 each in the Company as announced earlier.</t>
  </si>
  <si>
    <t>for the global market catering for the various industries such as banking, retailing, hotels and resorts.</t>
  </si>
  <si>
    <t>from the Chinese New Year festival in January 2004 whereas Chinese New Year fell in the month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</si>
  <si>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</si>
  <si>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</si>
  <si>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of ICULS which are free from encumbrances, after the release of RM50 million nominal value of ICULS</t>
  </si>
  <si>
    <t>at 31 January 2004, the outstanding inter-company balances owing by BLB group was RM1,003.2 million.</t>
  </si>
  <si>
    <t>in accordance with the terms of the Undertaking Letter upon BLB's repayment of RM100 million cash in</t>
  </si>
  <si>
    <t>January 2004 to the Company to partially settle the inter-company balances owing by BLB group.  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</si>
</sst>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8" fontId="2" fillId="2" borderId="0" xfId="15" applyNumberFormat="1" applyFont="1" applyFill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2" fillId="0" borderId="4" xfId="15" applyNumberFormat="1" applyFont="1" applyBorder="1" applyAlignment="1">
      <alignment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0" fontId="1" fillId="0" borderId="0" xfId="15" applyNumberFormat="1" applyFont="1" applyAlignment="1" quotePrefix="1">
      <alignment horizontal="center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167" fontId="2" fillId="0" borderId="14" xfId="15" applyNumberFormat="1" applyFont="1" applyBorder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7" fontId="2" fillId="0" borderId="8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7" fontId="0" fillId="0" borderId="0" xfId="15" applyNumberFormat="1" applyAlignment="1">
      <alignment/>
    </xf>
    <xf numFmtId="0" fontId="11" fillId="0" borderId="0" xfId="0" applyFont="1" applyAlignment="1" quotePrefix="1">
      <alignment horizontal="center"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167" fontId="2" fillId="0" borderId="15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20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"/>
  <sheetViews>
    <sheetView showGridLines="0" workbookViewId="0" topLeftCell="C24">
      <selection activeCell="H37" sqref="H37"/>
    </sheetView>
  </sheetViews>
  <sheetFormatPr defaultColWidth="9.140625" defaultRowHeight="12.75"/>
  <cols>
    <col min="1" max="1" width="8.421875" style="56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5" ht="15">
      <c r="A5" s="5" t="str">
        <f>Cover!B10</f>
        <v>UNAUDITED INTERIM FINANCIAL REPORT FOR THE PERIOD ENDED 31 JANUARY 2004</v>
      </c>
    </row>
    <row r="6" ht="5.25" customHeight="1">
      <c r="A6" s="5"/>
    </row>
    <row r="7" ht="15">
      <c r="A7" s="54" t="s">
        <v>91</v>
      </c>
    </row>
    <row r="9" spans="5:9" ht="15">
      <c r="E9" s="38"/>
      <c r="F9" s="167" t="s">
        <v>1</v>
      </c>
      <c r="G9" s="167"/>
      <c r="H9" s="167" t="s">
        <v>289</v>
      </c>
      <c r="I9" s="167"/>
    </row>
    <row r="10" spans="5:9" ht="15">
      <c r="E10" s="38"/>
      <c r="F10" s="86" t="s">
        <v>290</v>
      </c>
      <c r="G10" s="86" t="s">
        <v>291</v>
      </c>
      <c r="H10" s="86" t="str">
        <f>F10</f>
        <v>31-1-2004</v>
      </c>
      <c r="I10" s="86" t="str">
        <f>G10</f>
        <v>31-1-2003</v>
      </c>
    </row>
    <row r="11" spans="5:9" ht="15">
      <c r="E11" s="40"/>
      <c r="F11" s="40" t="s">
        <v>2</v>
      </c>
      <c r="G11" s="40" t="s">
        <v>2</v>
      </c>
      <c r="H11" s="40" t="s">
        <v>2</v>
      </c>
      <c r="I11" s="40" t="s">
        <v>2</v>
      </c>
    </row>
    <row r="12" spans="1:9" ht="22.5" customHeight="1" thickBot="1">
      <c r="A12" s="88" t="s">
        <v>3</v>
      </c>
      <c r="B12" s="41"/>
      <c r="C12" s="41"/>
      <c r="D12" s="41"/>
      <c r="E12" s="41"/>
      <c r="F12" s="42">
        <f>+H12-1181638</f>
        <v>660056</v>
      </c>
      <c r="G12" s="41">
        <v>537843</v>
      </c>
      <c r="H12" s="42">
        <v>1841694</v>
      </c>
      <c r="I12" s="41">
        <v>1587325</v>
      </c>
    </row>
    <row r="13" spans="6:8" ht="15">
      <c r="F13" s="43"/>
      <c r="H13" s="43"/>
    </row>
    <row r="14" spans="1:9" ht="15">
      <c r="A14" s="56" t="s">
        <v>110</v>
      </c>
      <c r="F14" s="43">
        <f>+H14-191913</f>
        <v>112169</v>
      </c>
      <c r="G14" s="39">
        <v>97096</v>
      </c>
      <c r="H14" s="43">
        <f>309255+2304-5122-380-540-1435</f>
        <v>304082</v>
      </c>
      <c r="I14" s="39">
        <v>271123</v>
      </c>
    </row>
    <row r="15" spans="6:8" ht="15">
      <c r="F15" s="43"/>
      <c r="H15" s="43"/>
    </row>
    <row r="16" spans="1:9" ht="15">
      <c r="A16" s="56" t="s">
        <v>4</v>
      </c>
      <c r="F16" s="43">
        <f>+H16-32212</f>
        <v>16172</v>
      </c>
      <c r="G16" s="39">
        <v>22548</v>
      </c>
      <c r="H16" s="43">
        <v>48384</v>
      </c>
      <c r="I16" s="39">
        <v>61490</v>
      </c>
    </row>
    <row r="17" spans="1:9" ht="15">
      <c r="A17" s="56" t="s">
        <v>5</v>
      </c>
      <c r="F17" s="43">
        <f>+H17--10238</f>
        <v>-5643</v>
      </c>
      <c r="G17" s="39">
        <v>-11591</v>
      </c>
      <c r="H17" s="43">
        <v>-15881</v>
      </c>
      <c r="I17" s="39">
        <v>-23873</v>
      </c>
    </row>
    <row r="18" spans="1:9" ht="15">
      <c r="A18" s="56" t="s">
        <v>77</v>
      </c>
      <c r="F18" s="43">
        <f>+H18-0</f>
        <v>0</v>
      </c>
      <c r="G18" s="39">
        <v>2</v>
      </c>
      <c r="H18" s="43">
        <v>0</v>
      </c>
      <c r="I18" s="39">
        <v>0</v>
      </c>
    </row>
    <row r="19" spans="1:9" ht="9.75" customHeight="1">
      <c r="A19" s="89"/>
      <c r="B19" s="44"/>
      <c r="C19" s="44"/>
      <c r="D19" s="44"/>
      <c r="E19" s="44"/>
      <c r="F19" s="45"/>
      <c r="G19" s="44"/>
      <c r="H19" s="45"/>
      <c r="I19" s="44"/>
    </row>
    <row r="20" spans="1:9" ht="17.25" customHeight="1">
      <c r="A20" s="56" t="s">
        <v>6</v>
      </c>
      <c r="F20" s="43">
        <f>SUM(F14:F19)</f>
        <v>122698</v>
      </c>
      <c r="G20" s="39">
        <f>SUM(G14:G19)</f>
        <v>108055</v>
      </c>
      <c r="H20" s="43">
        <f>SUM(H14:H19)</f>
        <v>336585</v>
      </c>
      <c r="I20" s="39">
        <f>SUM(I14:I19)</f>
        <v>308740</v>
      </c>
    </row>
    <row r="21" spans="6:8" ht="17.25" customHeight="1">
      <c r="F21" s="43"/>
      <c r="H21" s="43"/>
    </row>
    <row r="22" spans="1:9" ht="18.75" customHeight="1">
      <c r="A22" s="90" t="s">
        <v>7</v>
      </c>
      <c r="B22" s="46"/>
      <c r="C22" s="46"/>
      <c r="D22" s="46"/>
      <c r="E22" s="46"/>
      <c r="F22" s="47">
        <f>+H22--65008</f>
        <v>-36982</v>
      </c>
      <c r="G22" s="46">
        <v>-36964</v>
      </c>
      <c r="H22" s="47">
        <v>-101990</v>
      </c>
      <c r="I22" s="46">
        <v>-101203</v>
      </c>
    </row>
    <row r="23" spans="1:9" ht="20.25" customHeight="1">
      <c r="A23" s="56" t="s">
        <v>8</v>
      </c>
      <c r="F23" s="43">
        <f>SUM(F20:F22)</f>
        <v>85716</v>
      </c>
      <c r="G23" s="39">
        <f>SUM(G20:G22)</f>
        <v>71091</v>
      </c>
      <c r="H23" s="43">
        <f>SUM(H20:H22)</f>
        <v>234595</v>
      </c>
      <c r="I23" s="39">
        <f>SUM(I20:I22)</f>
        <v>207537</v>
      </c>
    </row>
    <row r="24" spans="6:8" ht="16.5" customHeight="1">
      <c r="F24" s="43"/>
      <c r="H24" s="43"/>
    </row>
    <row r="25" spans="1:9" ht="15">
      <c r="A25" s="56" t="s">
        <v>12</v>
      </c>
      <c r="F25" s="43">
        <f>+H25--236</f>
        <v>-4861</v>
      </c>
      <c r="G25" s="39">
        <v>-49</v>
      </c>
      <c r="H25" s="43">
        <v>-5097</v>
      </c>
      <c r="I25" s="39">
        <v>536</v>
      </c>
    </row>
    <row r="26" spans="1:9" ht="9.75" customHeight="1">
      <c r="A26" s="89"/>
      <c r="B26" s="44"/>
      <c r="C26" s="44"/>
      <c r="D26" s="44"/>
      <c r="E26" s="44"/>
      <c r="F26" s="45"/>
      <c r="G26" s="44"/>
      <c r="H26" s="45"/>
      <c r="I26" s="44"/>
    </row>
    <row r="27" spans="1:8" ht="21.75" customHeight="1">
      <c r="A27" s="56" t="s">
        <v>9</v>
      </c>
      <c r="F27" s="43"/>
      <c r="H27" s="43"/>
    </row>
    <row r="28" spans="1:9" ht="15">
      <c r="A28" s="56" t="s">
        <v>53</v>
      </c>
      <c r="F28" s="43">
        <f>+F23+F25</f>
        <v>80855</v>
      </c>
      <c r="G28" s="39">
        <f>+G23+G25</f>
        <v>71042</v>
      </c>
      <c r="H28" s="43">
        <f>+H23+H25</f>
        <v>229498</v>
      </c>
      <c r="I28" s="39">
        <f>+I23+I25</f>
        <v>208073</v>
      </c>
    </row>
    <row r="29" spans="1:9" ht="9" customHeight="1" thickBot="1">
      <c r="A29" s="91"/>
      <c r="B29" s="48"/>
      <c r="C29" s="48"/>
      <c r="D29" s="48"/>
      <c r="E29" s="48"/>
      <c r="F29" s="49"/>
      <c r="G29" s="48"/>
      <c r="H29" s="49"/>
      <c r="I29" s="48"/>
    </row>
    <row r="30" spans="6:8" ht="9" customHeight="1">
      <c r="F30" s="43"/>
      <c r="H30" s="43"/>
    </row>
    <row r="31" spans="1:8" ht="15">
      <c r="A31" s="56" t="s">
        <v>67</v>
      </c>
      <c r="F31" s="43"/>
      <c r="H31" s="43"/>
    </row>
    <row r="32" spans="1:9" ht="15.75" customHeight="1">
      <c r="A32" s="56" t="s">
        <v>10</v>
      </c>
      <c r="F32" s="50">
        <f>+'Notes (2)'!I170</f>
        <v>9.446990878404824</v>
      </c>
      <c r="G32" s="51">
        <f>+'Notes (2)'!J170</f>
        <v>10.313759422074076</v>
      </c>
      <c r="H32" s="50">
        <f>+'Notes (2)'!I192</f>
        <v>28.18810905884058</v>
      </c>
      <c r="I32" s="51">
        <f>+'Notes (2)'!J192</f>
        <v>33.51799349205838</v>
      </c>
    </row>
    <row r="33" spans="6:8" ht="8.25" customHeight="1">
      <c r="F33" s="52"/>
      <c r="H33" s="43"/>
    </row>
    <row r="34" spans="1:9" ht="15">
      <c r="A34" s="56" t="s">
        <v>11</v>
      </c>
      <c r="F34" s="117">
        <f>+'Notes (2)'!I181</f>
        <v>7.134991205278903</v>
      </c>
      <c r="G34" s="51">
        <f>+'Notes (2)'!J181</f>
        <v>7.462150051412831</v>
      </c>
      <c r="H34" s="117">
        <f>+'Notes (2)'!I203</f>
        <v>20.9882581564288</v>
      </c>
      <c r="I34" s="51">
        <f>+'Notes (2)'!J203</f>
        <v>22.95071988532887</v>
      </c>
    </row>
    <row r="35" spans="1:9" ht="9" customHeight="1" thickBot="1">
      <c r="A35" s="91"/>
      <c r="B35" s="48"/>
      <c r="C35" s="48"/>
      <c r="D35" s="48"/>
      <c r="E35" s="48"/>
      <c r="F35" s="49"/>
      <c r="G35" s="48"/>
      <c r="H35" s="49"/>
      <c r="I35" s="48"/>
    </row>
    <row r="36" spans="6:8" ht="9.75" customHeight="1">
      <c r="F36" s="43"/>
      <c r="H36" s="43"/>
    </row>
    <row r="37" spans="1:9" ht="15">
      <c r="A37" s="56" t="s">
        <v>68</v>
      </c>
      <c r="F37" s="50">
        <f>0*0.72</f>
        <v>0</v>
      </c>
      <c r="G37" s="51">
        <v>3.6</v>
      </c>
      <c r="H37" s="50">
        <f>8*0.72</f>
        <v>5.76</v>
      </c>
      <c r="I37" s="51">
        <v>7.2</v>
      </c>
    </row>
    <row r="38" spans="1:9" ht="8.25" customHeight="1" thickBot="1">
      <c r="A38" s="91"/>
      <c r="B38" s="48"/>
      <c r="C38" s="48"/>
      <c r="D38" s="48"/>
      <c r="E38" s="48"/>
      <c r="F38" s="49"/>
      <c r="G38" s="48"/>
      <c r="H38" s="49"/>
      <c r="I38" s="48"/>
    </row>
    <row r="44" ht="15">
      <c r="I44" s="53"/>
    </row>
    <row r="45" ht="15">
      <c r="I45" s="53"/>
    </row>
    <row r="46" ht="15">
      <c r="I46" s="53"/>
    </row>
    <row r="47" ht="15">
      <c r="H47" s="53"/>
    </row>
    <row r="48" ht="15">
      <c r="A48" s="92" t="s">
        <v>172</v>
      </c>
    </row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31-1-2004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3">
      <selection activeCell="B25" sqref="B25"/>
    </sheetView>
  </sheetViews>
  <sheetFormatPr defaultColWidth="9.140625" defaultRowHeight="12.75"/>
  <cols>
    <col min="1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68" t="s">
        <v>108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169" t="s">
        <v>109</v>
      </c>
      <c r="B2" s="169"/>
      <c r="C2" s="169"/>
      <c r="D2" s="169"/>
      <c r="E2" s="169"/>
      <c r="F2" s="169"/>
      <c r="G2" s="169"/>
      <c r="H2" s="169"/>
      <c r="I2" s="169"/>
      <c r="J2" s="169"/>
    </row>
    <row r="10" spans="1:9" ht="27.75" customHeight="1">
      <c r="A10" s="107" t="s">
        <v>80</v>
      </c>
      <c r="B10" s="170" t="s">
        <v>288</v>
      </c>
      <c r="C10" s="170"/>
      <c r="D10" s="170"/>
      <c r="E10" s="170"/>
      <c r="F10" s="170"/>
      <c r="G10" s="170"/>
      <c r="H10" s="106"/>
      <c r="I10" s="106"/>
    </row>
    <row r="12" spans="2:9" ht="15">
      <c r="B12" s="103" t="s">
        <v>89</v>
      </c>
      <c r="I12" s="73" t="s">
        <v>90</v>
      </c>
    </row>
    <row r="13" ht="9" customHeight="1"/>
    <row r="14" spans="2:9" ht="15">
      <c r="B14" s="2" t="s">
        <v>84</v>
      </c>
      <c r="I14" s="73">
        <v>1</v>
      </c>
    </row>
    <row r="15" ht="9" customHeight="1">
      <c r="I15" s="73"/>
    </row>
    <row r="16" spans="2:9" ht="15">
      <c r="B16" s="2" t="s">
        <v>85</v>
      </c>
      <c r="I16" s="73">
        <v>2</v>
      </c>
    </row>
    <row r="17" ht="9" customHeight="1">
      <c r="I17" s="73"/>
    </row>
    <row r="18" spans="2:9" ht="15">
      <c r="B18" s="2" t="s">
        <v>86</v>
      </c>
      <c r="I18" s="73">
        <v>3</v>
      </c>
    </row>
    <row r="19" ht="9" customHeight="1">
      <c r="I19" s="73"/>
    </row>
    <row r="20" spans="2:9" ht="15">
      <c r="B20" s="2" t="s">
        <v>87</v>
      </c>
      <c r="I20" s="73">
        <v>4</v>
      </c>
    </row>
    <row r="21" ht="9" customHeight="1">
      <c r="I21" s="73"/>
    </row>
    <row r="22" spans="2:9" ht="15">
      <c r="B22" s="2" t="s">
        <v>88</v>
      </c>
      <c r="I22" s="104" t="s">
        <v>0</v>
      </c>
    </row>
    <row r="23" ht="9" customHeight="1">
      <c r="I23" s="73"/>
    </row>
    <row r="24" spans="2:10" ht="15">
      <c r="B24" s="2" t="s">
        <v>344</v>
      </c>
      <c r="I24" s="105" t="s">
        <v>268</v>
      </c>
      <c r="J24" s="102"/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 topLeftCell="A1">
      <pane xSplit="3" ySplit="9" topLeftCell="F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3" sqref="H53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11.25" customHeight="1">
      <c r="H1" s="3"/>
    </row>
    <row r="2" ht="3.75" customHeight="1">
      <c r="H2" s="3"/>
    </row>
    <row r="3" ht="3.75" customHeight="1">
      <c r="H3" s="3"/>
    </row>
    <row r="4" ht="3" customHeight="1" hidden="1">
      <c r="H4" s="3"/>
    </row>
    <row r="5" spans="1:8" ht="12.75" customHeight="1">
      <c r="A5" s="5" t="str">
        <f>PL!A5</f>
        <v>UNAUDITED INTERIM FINANCIAL REPORT FOR THE PERIOD ENDED 31 JANUARY 2004</v>
      </c>
      <c r="H5" s="3"/>
    </row>
    <row r="6" spans="1:9" ht="12.75" customHeight="1">
      <c r="A6" s="74" t="s">
        <v>83</v>
      </c>
      <c r="B6" s="6"/>
      <c r="C6" s="6"/>
      <c r="D6" s="6"/>
      <c r="E6" s="6"/>
      <c r="F6" s="6"/>
      <c r="G6" s="6"/>
      <c r="H6" s="7"/>
      <c r="I6" s="7"/>
    </row>
    <row r="7" spans="1:10" ht="14.25" customHeight="1">
      <c r="A7" s="2" t="s">
        <v>13</v>
      </c>
      <c r="G7" s="5"/>
      <c r="H7" s="171" t="s">
        <v>27</v>
      </c>
      <c r="I7" s="171"/>
      <c r="J7" s="8"/>
    </row>
    <row r="8" spans="7:10" ht="13.5" customHeight="1">
      <c r="G8" s="5"/>
      <c r="H8" s="9" t="str">
        <f>PL!F10</f>
        <v>31-1-2004</v>
      </c>
      <c r="I8" s="9" t="s">
        <v>199</v>
      </c>
      <c r="J8" s="8"/>
    </row>
    <row r="9" spans="1:10" ht="13.5" customHeight="1" thickBot="1">
      <c r="A9" s="10"/>
      <c r="B9" s="10"/>
      <c r="C9" s="10"/>
      <c r="D9" s="10"/>
      <c r="E9" s="10"/>
      <c r="F9" s="10"/>
      <c r="G9" s="1"/>
      <c r="H9" s="11" t="s">
        <v>2</v>
      </c>
      <c r="I9" s="11" t="s">
        <v>2</v>
      </c>
      <c r="J9" s="8"/>
    </row>
    <row r="10" spans="1:10" ht="15.75" customHeight="1">
      <c r="A10" s="8" t="s">
        <v>267</v>
      </c>
      <c r="B10" s="4"/>
      <c r="C10" s="4"/>
      <c r="D10" s="4"/>
      <c r="E10" s="4"/>
      <c r="F10" s="4"/>
      <c r="G10" s="12"/>
      <c r="H10" s="13"/>
      <c r="I10" s="13"/>
      <c r="J10" s="8"/>
    </row>
    <row r="11" spans="1:9" ht="14.25" customHeight="1">
      <c r="A11" s="2" t="s">
        <v>28</v>
      </c>
      <c r="H11" s="14">
        <v>67747</v>
      </c>
      <c r="I11" s="15">
        <v>115086</v>
      </c>
    </row>
    <row r="12" spans="1:9" ht="14.25" customHeight="1">
      <c r="A12" s="2" t="s">
        <v>111</v>
      </c>
      <c r="H12" s="15">
        <v>11382</v>
      </c>
      <c r="I12" s="15">
        <v>11519</v>
      </c>
    </row>
    <row r="13" spans="1:9" ht="14.25" customHeight="1">
      <c r="A13" s="2" t="s">
        <v>95</v>
      </c>
      <c r="H13" s="15">
        <v>57154</v>
      </c>
      <c r="I13" s="15">
        <v>2580</v>
      </c>
    </row>
    <row r="14" spans="1:9" ht="14.25" customHeight="1">
      <c r="A14" s="2" t="s">
        <v>96</v>
      </c>
      <c r="H14" s="15">
        <v>6121</v>
      </c>
      <c r="I14" s="15">
        <v>620</v>
      </c>
    </row>
    <row r="15" spans="1:9" ht="14.25" customHeight="1">
      <c r="A15" s="4" t="s">
        <v>97</v>
      </c>
      <c r="B15" s="4"/>
      <c r="C15" s="4"/>
      <c r="D15" s="4"/>
      <c r="E15" s="4"/>
      <c r="F15" s="4"/>
      <c r="G15" s="4"/>
      <c r="H15" s="15">
        <v>611623</v>
      </c>
      <c r="I15" s="15">
        <v>612798</v>
      </c>
    </row>
    <row r="16" spans="1:9" ht="14.25" customHeight="1">
      <c r="A16" s="4" t="s">
        <v>112</v>
      </c>
      <c r="B16" s="4"/>
      <c r="C16" s="4"/>
      <c r="D16" s="4"/>
      <c r="E16" s="4"/>
      <c r="F16" s="4"/>
      <c r="G16" s="4"/>
      <c r="H16" s="15">
        <v>0</v>
      </c>
      <c r="I16" s="15">
        <v>3</v>
      </c>
    </row>
    <row r="17" spans="1:9" ht="3.7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14</v>
      </c>
      <c r="H18" s="15"/>
      <c r="I18" s="15"/>
    </row>
    <row r="19" spans="1:10" ht="14.25" customHeight="1">
      <c r="A19" s="2" t="s">
        <v>113</v>
      </c>
      <c r="H19" s="31">
        <v>22423</v>
      </c>
      <c r="I19" s="33">
        <v>21811</v>
      </c>
      <c r="J19" s="17"/>
    </row>
    <row r="20" spans="1:10" ht="14.25" customHeight="1">
      <c r="A20" s="2" t="s">
        <v>224</v>
      </c>
      <c r="H20" s="32">
        <f>26322+34925+194</f>
        <v>61441</v>
      </c>
      <c r="I20" s="34">
        <f>92361</f>
        <v>92361</v>
      </c>
      <c r="J20" s="17"/>
    </row>
    <row r="21" spans="1:10" ht="14.25" customHeight="1">
      <c r="A21" s="2" t="s">
        <v>271</v>
      </c>
      <c r="H21" s="32">
        <v>1003490</v>
      </c>
      <c r="I21" s="34">
        <v>1058375</v>
      </c>
      <c r="J21" s="17"/>
    </row>
    <row r="22" spans="1:10" ht="14.25" customHeight="1">
      <c r="A22" s="2" t="s">
        <v>114</v>
      </c>
      <c r="H22" s="32">
        <v>186214</v>
      </c>
      <c r="I22" s="34">
        <v>91390</v>
      </c>
      <c r="J22" s="17"/>
    </row>
    <row r="23" spans="1:10" ht="14.25" customHeight="1">
      <c r="A23" s="30" t="s">
        <v>15</v>
      </c>
      <c r="B23" s="30"/>
      <c r="C23" s="30"/>
      <c r="D23" s="30"/>
      <c r="E23" s="30"/>
      <c r="F23" s="30"/>
      <c r="G23" s="30"/>
      <c r="H23" s="37">
        <v>90743</v>
      </c>
      <c r="I23" s="35">
        <v>49756</v>
      </c>
      <c r="J23" s="18"/>
    </row>
    <row r="24" spans="1:10" ht="14.25" customHeight="1">
      <c r="A24" s="4"/>
      <c r="B24" s="4"/>
      <c r="C24" s="4"/>
      <c r="D24" s="4"/>
      <c r="E24" s="4"/>
      <c r="F24" s="4"/>
      <c r="G24" s="4"/>
      <c r="H24" s="36">
        <f>SUM(H19:H23)</f>
        <v>1364311</v>
      </c>
      <c r="I24" s="29">
        <f>SUM(I19:I23)</f>
        <v>1313693</v>
      </c>
      <c r="J24" s="17"/>
    </row>
    <row r="25" spans="8:10" s="4" customFormat="1" ht="1.5" customHeight="1">
      <c r="H25" s="32"/>
      <c r="I25" s="34"/>
      <c r="J25" s="17"/>
    </row>
    <row r="26" spans="1:10" ht="14.25" customHeight="1">
      <c r="A26" s="5" t="s">
        <v>16</v>
      </c>
      <c r="H26" s="32"/>
      <c r="I26" s="34"/>
      <c r="J26" s="17"/>
    </row>
    <row r="27" spans="1:10" ht="14.25" customHeight="1">
      <c r="A27" s="2" t="s">
        <v>223</v>
      </c>
      <c r="H27" s="32">
        <f>46034+295660</f>
        <v>341694</v>
      </c>
      <c r="I27" s="34">
        <v>325225</v>
      </c>
      <c r="J27" s="17"/>
    </row>
    <row r="28" spans="1:10" ht="14.25" customHeight="1">
      <c r="A28" s="2" t="s">
        <v>272</v>
      </c>
      <c r="H28" s="32">
        <v>255</v>
      </c>
      <c r="I28" s="34">
        <v>970</v>
      </c>
      <c r="J28" s="17"/>
    </row>
    <row r="29" spans="1:10" ht="14.25" customHeight="1">
      <c r="A29" s="2" t="s">
        <v>17</v>
      </c>
      <c r="H29" s="32">
        <v>5396</v>
      </c>
      <c r="I29" s="34">
        <v>11761</v>
      </c>
      <c r="J29" s="17"/>
    </row>
    <row r="30" spans="1:10" ht="14.25" customHeight="1">
      <c r="A30" s="2" t="s">
        <v>18</v>
      </c>
      <c r="H30" s="32">
        <v>14735</v>
      </c>
      <c r="I30" s="34">
        <v>10207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362080</v>
      </c>
      <c r="I31" s="29">
        <f>SUM(I27:I30)</f>
        <v>348163</v>
      </c>
      <c r="J31" s="17"/>
    </row>
    <row r="32" spans="8:9" s="4" customFormat="1" ht="2.25" customHeight="1">
      <c r="H32" s="15"/>
      <c r="I32" s="15"/>
    </row>
    <row r="33" spans="1:10" ht="14.25" customHeight="1">
      <c r="A33" s="111" t="s">
        <v>19</v>
      </c>
      <c r="B33" s="22"/>
      <c r="C33" s="22"/>
      <c r="D33" s="22"/>
      <c r="E33" s="22"/>
      <c r="F33" s="22"/>
      <c r="G33" s="22"/>
      <c r="H33" s="112">
        <f>H24-H31</f>
        <v>1002231</v>
      </c>
      <c r="I33" s="112">
        <f>I24-I31</f>
        <v>965530</v>
      </c>
      <c r="J33" s="22"/>
    </row>
    <row r="34" spans="1:10" ht="1.5" customHeight="1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9" ht="14.25" customHeight="1" thickBot="1">
      <c r="A35" s="10"/>
      <c r="B35" s="10"/>
      <c r="C35" s="10"/>
      <c r="D35" s="10"/>
      <c r="E35" s="10"/>
      <c r="F35" s="10"/>
      <c r="G35" s="10"/>
      <c r="H35" s="23">
        <f>SUM(H11:H16)+H33</f>
        <v>1756258</v>
      </c>
      <c r="I35" s="23">
        <f>SUM(I11:I16)+I33</f>
        <v>1708136</v>
      </c>
    </row>
    <row r="36" spans="1:9" ht="15.75" customHeight="1">
      <c r="A36" s="5" t="s">
        <v>20</v>
      </c>
      <c r="H36" s="25"/>
      <c r="I36" s="15"/>
    </row>
    <row r="37" spans="1:9" ht="14.25" customHeight="1">
      <c r="A37" s="2" t="s">
        <v>21</v>
      </c>
      <c r="H37" s="25">
        <f>+SICE!F27</f>
        <v>946212</v>
      </c>
      <c r="I37" s="15">
        <v>801315</v>
      </c>
    </row>
    <row r="38" spans="1:9" ht="14.25" customHeight="1">
      <c r="A38" s="2" t="s">
        <v>115</v>
      </c>
      <c r="H38" s="25">
        <v>240703</v>
      </c>
      <c r="I38" s="15">
        <v>192817</v>
      </c>
    </row>
    <row r="39" spans="1:9" ht="14.25" customHeight="1">
      <c r="A39" s="2" t="s">
        <v>116</v>
      </c>
      <c r="H39" s="25">
        <f>239915-H38</f>
        <v>-788</v>
      </c>
      <c r="I39" s="15">
        <v>350</v>
      </c>
    </row>
    <row r="40" spans="1:9" ht="14.25" customHeight="1">
      <c r="A40" s="2" t="s">
        <v>200</v>
      </c>
      <c r="H40" s="15">
        <f>+SICE!H27</f>
        <v>174723</v>
      </c>
      <c r="I40" s="15">
        <v>240702</v>
      </c>
    </row>
    <row r="41" spans="1:9" ht="14.25" customHeight="1">
      <c r="A41" s="2" t="s">
        <v>98</v>
      </c>
      <c r="H41" s="16">
        <f>+SICE!J27</f>
        <v>604032</v>
      </c>
      <c r="I41" s="16">
        <v>580027</v>
      </c>
    </row>
    <row r="42" spans="1:9" ht="14.25" customHeight="1">
      <c r="A42" s="2" t="s">
        <v>202</v>
      </c>
      <c r="H42" s="25">
        <f>SUM(H37:H41)</f>
        <v>1964882</v>
      </c>
      <c r="I42" s="25">
        <f>SUM(I37:I41)</f>
        <v>1815211</v>
      </c>
    </row>
    <row r="43" spans="1:9" ht="14.25" customHeight="1">
      <c r="A43" s="2" t="s">
        <v>117</v>
      </c>
      <c r="H43" s="15">
        <f>+SICE!G27</f>
        <v>-215258</v>
      </c>
      <c r="I43" s="15">
        <v>-206089</v>
      </c>
    </row>
    <row r="44" spans="1:9" ht="14.25" customHeight="1">
      <c r="A44" s="2" t="s">
        <v>180</v>
      </c>
      <c r="H44" s="16">
        <v>-57355</v>
      </c>
      <c r="I44" s="16">
        <v>-35348</v>
      </c>
    </row>
    <row r="45" spans="1:9" ht="14.25" customHeight="1">
      <c r="A45" s="2" t="s">
        <v>209</v>
      </c>
      <c r="H45" s="25">
        <f>SUM(H42:H44)</f>
        <v>1692269</v>
      </c>
      <c r="I45" s="25">
        <f>SUM(I42:I44)</f>
        <v>1573774</v>
      </c>
    </row>
    <row r="46" spans="1:9" ht="14.25" customHeight="1">
      <c r="A46" s="2" t="s">
        <v>171</v>
      </c>
      <c r="H46" s="16">
        <v>-148879</v>
      </c>
      <c r="I46" s="16">
        <v>-155116</v>
      </c>
    </row>
    <row r="47" spans="1:9" ht="14.25" customHeight="1">
      <c r="A47" s="2" t="s">
        <v>211</v>
      </c>
      <c r="H47" s="25">
        <f>+H45+H46</f>
        <v>1543390</v>
      </c>
      <c r="I47" s="25">
        <f>+I45+I46</f>
        <v>1418658</v>
      </c>
    </row>
    <row r="48" spans="1:9" ht="14.25" customHeight="1">
      <c r="A48" s="2" t="s">
        <v>222</v>
      </c>
      <c r="H48" s="25">
        <v>1557</v>
      </c>
      <c r="I48" s="25">
        <v>1816</v>
      </c>
    </row>
    <row r="49" spans="1:9" ht="14.25" customHeight="1">
      <c r="A49" s="2" t="s">
        <v>118</v>
      </c>
      <c r="H49" s="25">
        <f>31319+7488</f>
        <v>38807</v>
      </c>
      <c r="I49" s="15">
        <v>38696</v>
      </c>
    </row>
    <row r="50" spans="1:9" ht="14.25" customHeight="1">
      <c r="A50" s="2" t="s">
        <v>210</v>
      </c>
      <c r="H50" s="2"/>
      <c r="I50" s="2"/>
    </row>
    <row r="51" spans="1:9" ht="14.25" customHeight="1">
      <c r="A51" s="2" t="s">
        <v>201</v>
      </c>
      <c r="H51" s="25">
        <v>172504</v>
      </c>
      <c r="I51" s="25">
        <v>248966</v>
      </c>
    </row>
    <row r="52" spans="8:9" ht="1.5" customHeight="1">
      <c r="H52" s="25"/>
      <c r="I52" s="15"/>
    </row>
    <row r="53" spans="1:9" ht="14.25" customHeight="1" thickBot="1">
      <c r="A53" s="26"/>
      <c r="B53" s="26"/>
      <c r="C53" s="26"/>
      <c r="D53" s="26"/>
      <c r="E53" s="26"/>
      <c r="F53" s="26"/>
      <c r="G53" s="26"/>
      <c r="H53" s="24">
        <f>SUM(H47:H51)</f>
        <v>1756258</v>
      </c>
      <c r="I53" s="24">
        <f>SUM(I47:I51)</f>
        <v>1708136</v>
      </c>
    </row>
    <row r="54" spans="8:9" ht="1.5" customHeight="1">
      <c r="H54" s="25"/>
      <c r="I54" s="15"/>
    </row>
    <row r="55" spans="1:9" ht="15.75" customHeight="1">
      <c r="A55" s="2" t="s">
        <v>208</v>
      </c>
      <c r="H55" s="110">
        <f>($H$45-$H$15-$H$16-H40)/($H$37-37100)</f>
        <v>0.996492181381392</v>
      </c>
      <c r="I55" s="110">
        <f>($I$45-$I$15-$I$16-I40)/($I$37-34850)</f>
        <v>0.939731103181489</v>
      </c>
    </row>
    <row r="56" spans="4:9" ht="15.75" customHeight="1">
      <c r="D56" s="2" t="s">
        <v>206</v>
      </c>
      <c r="H56" s="110">
        <f>($H$45-$H$15-$H$16)/($H$37-37100+((403715)/1.2))</f>
        <v>0.867611628519705</v>
      </c>
      <c r="I56" s="110">
        <f>($I$45-$I$15-$I$16)/($I$37-34850+((537771)/1.2))</f>
        <v>0.7911798667470767</v>
      </c>
    </row>
    <row r="57" spans="1:9" ht="14.25" customHeight="1">
      <c r="A57" s="2" t="s">
        <v>94</v>
      </c>
      <c r="D57" s="2" t="s">
        <v>207</v>
      </c>
      <c r="H57" s="110">
        <f>(+$H$45-H40)/($H$37-37100)</f>
        <v>1.6692618731245434</v>
      </c>
      <c r="I57" s="110">
        <f>(+$I$45-I40)/($I$37-34850)</f>
        <v>1.739247062814349</v>
      </c>
    </row>
    <row r="58" spans="4:9" ht="14.25" customHeight="1">
      <c r="D58" s="2" t="s">
        <v>206</v>
      </c>
      <c r="H58" s="110">
        <f>+$H$45/($H$37-37100+((403715)/1.2))</f>
        <v>1.3586616366353206</v>
      </c>
      <c r="I58" s="110">
        <f>+$I$45/($I$37-34850+((537771)/1.2))</f>
        <v>1.2957058144297644</v>
      </c>
    </row>
    <row r="59" spans="8:9" ht="7.5" customHeight="1">
      <c r="H59" s="110"/>
      <c r="I59" s="156"/>
    </row>
    <row r="60" spans="1:9" ht="14.25" customHeight="1">
      <c r="A60" s="2" t="s">
        <v>269</v>
      </c>
      <c r="H60" s="110"/>
      <c r="I60" s="156"/>
    </row>
    <row r="61" spans="1:9" ht="14.25" customHeight="1">
      <c r="A61" s="2" t="s">
        <v>217</v>
      </c>
      <c r="H61" s="110"/>
      <c r="I61" s="156"/>
    </row>
    <row r="62" spans="1:9" ht="14.25" customHeight="1">
      <c r="A62" s="2" t="s">
        <v>218</v>
      </c>
      <c r="H62" s="110"/>
      <c r="I62" s="156"/>
    </row>
    <row r="63" spans="1:9" ht="14.25" customHeight="1">
      <c r="A63" s="2" t="s">
        <v>281</v>
      </c>
      <c r="H63" s="110"/>
      <c r="I63" s="156"/>
    </row>
    <row r="64" spans="1:9" ht="14.25" customHeight="1">
      <c r="A64" s="2" t="s">
        <v>280</v>
      </c>
      <c r="H64" s="110"/>
      <c r="I64" s="156"/>
    </row>
    <row r="65" spans="8:9" ht="4.5" customHeight="1">
      <c r="H65" s="110"/>
      <c r="I65" s="156"/>
    </row>
    <row r="66" spans="1:9" ht="14.25" customHeight="1">
      <c r="A66" s="2" t="s">
        <v>270</v>
      </c>
      <c r="H66" s="110"/>
      <c r="I66" s="156"/>
    </row>
    <row r="67" spans="1:9" ht="14.25" customHeight="1">
      <c r="A67" s="2" t="s">
        <v>216</v>
      </c>
      <c r="H67" s="110"/>
      <c r="I67" s="156"/>
    </row>
    <row r="68" spans="1:9" ht="14.25" customHeight="1">
      <c r="A68" s="2" t="s">
        <v>279</v>
      </c>
      <c r="H68" s="110"/>
      <c r="I68" s="156"/>
    </row>
    <row r="69" spans="1:9" ht="14.25" customHeight="1">
      <c r="A69" s="2" t="s">
        <v>278</v>
      </c>
      <c r="H69" s="110"/>
      <c r="I69" s="156"/>
    </row>
    <row r="70" spans="8:9" ht="1.5" customHeight="1">
      <c r="H70" s="110"/>
      <c r="I70" s="156"/>
    </row>
    <row r="71" spans="1:9" ht="15">
      <c r="A71" s="5" t="s">
        <v>172</v>
      </c>
      <c r="H71" s="25"/>
      <c r="I71" s="15"/>
    </row>
    <row r="72" spans="8:9" ht="15">
      <c r="H72" s="114">
        <f>+H53-H35</f>
        <v>0</v>
      </c>
      <c r="I72" s="114">
        <f>+I53-I35</f>
        <v>0</v>
      </c>
    </row>
  </sheetData>
  <mergeCells count="1">
    <mergeCell ref="H7:I7"/>
  </mergeCells>
  <printOptions/>
  <pageMargins left="0.75" right="0.49" top="0.86" bottom="0.81" header="0.5" footer="0.5"/>
  <pageSetup horizontalDpi="600" verticalDpi="600" orientation="portrait" paperSize="9" scale="85" r:id="rId1"/>
  <headerFooter alignWithMargins="0">
    <oddHeader>&amp;R&amp;"Arial,Bold"Berjaya Sports Toto Berhad&amp;U
&amp;9&amp;U(&amp;"Arial,Regular"Company No. 9109-K)
Quarterly Report 31-1-2004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86"/>
  <sheetViews>
    <sheetView showGridLines="0" workbookViewId="0" topLeftCell="C21">
      <selection activeCell="F31" sqref="F31"/>
    </sheetView>
  </sheetViews>
  <sheetFormatPr defaultColWidth="9.140625" defaultRowHeight="12.75"/>
  <cols>
    <col min="1" max="3" width="7.8515625" style="2" customWidth="1"/>
    <col min="4" max="4" width="6.421875" style="2" customWidth="1"/>
    <col min="5" max="5" width="5.140625" style="2" customWidth="1"/>
    <col min="6" max="6" width="8.5742187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INTERIM FINANCIAL REPORT FOR THE PERIOD ENDED 31 JANUARY 2004</v>
      </c>
    </row>
    <row r="6" ht="5.25" customHeight="1"/>
    <row r="7" ht="15">
      <c r="A7" s="5" t="s">
        <v>93</v>
      </c>
    </row>
    <row r="8" ht="15">
      <c r="A8" s="5"/>
    </row>
    <row r="9" ht="15">
      <c r="A9" s="5"/>
    </row>
    <row r="10" spans="1:10" ht="15">
      <c r="A10" s="5"/>
      <c r="G10" s="102"/>
      <c r="H10" s="2"/>
      <c r="I10" s="173" t="s">
        <v>276</v>
      </c>
      <c r="J10" s="173"/>
    </row>
    <row r="11" spans="6:11" ht="15">
      <c r="F11" s="100" t="s">
        <v>78</v>
      </c>
      <c r="G11" s="100" t="s">
        <v>119</v>
      </c>
      <c r="H11" s="157" t="s">
        <v>220</v>
      </c>
      <c r="I11" s="100" t="s">
        <v>22</v>
      </c>
      <c r="J11" s="101"/>
      <c r="K11" s="100"/>
    </row>
    <row r="12" spans="6:11" ht="15">
      <c r="F12" s="100" t="s">
        <v>79</v>
      </c>
      <c r="G12" s="100" t="s">
        <v>120</v>
      </c>
      <c r="H12" s="157" t="s">
        <v>219</v>
      </c>
      <c r="I12" s="100" t="s">
        <v>25</v>
      </c>
      <c r="J12" s="100" t="s">
        <v>23</v>
      </c>
      <c r="K12" s="100" t="s">
        <v>24</v>
      </c>
    </row>
    <row r="13" spans="6:11" ht="15">
      <c r="F13" s="100" t="s">
        <v>2</v>
      </c>
      <c r="G13" s="100" t="s">
        <v>2</v>
      </c>
      <c r="H13" s="100" t="s">
        <v>2</v>
      </c>
      <c r="I13" s="100" t="s">
        <v>2</v>
      </c>
      <c r="J13" s="100" t="s">
        <v>2</v>
      </c>
      <c r="K13" s="100" t="s">
        <v>2</v>
      </c>
    </row>
    <row r="14" ht="15">
      <c r="F14" s="27"/>
    </row>
    <row r="15" spans="1:11" ht="15">
      <c r="A15" s="141" t="s">
        <v>225</v>
      </c>
      <c r="B15" s="141"/>
      <c r="F15" s="82">
        <v>801315</v>
      </c>
      <c r="G15" s="82">
        <v>-206089</v>
      </c>
      <c r="H15" s="82">
        <v>240702</v>
      </c>
      <c r="I15" s="82">
        <f>192817-35348+350</f>
        <v>157819</v>
      </c>
      <c r="J15" s="82">
        <v>580027</v>
      </c>
      <c r="K15" s="82">
        <f>SUM(F15:J15)</f>
        <v>1573774</v>
      </c>
    </row>
    <row r="16" spans="1:11" ht="12" customHeight="1">
      <c r="A16" s="141"/>
      <c r="B16" s="141"/>
      <c r="F16" s="80"/>
      <c r="G16" s="80"/>
      <c r="H16" s="53"/>
      <c r="I16" s="39"/>
      <c r="J16" s="39"/>
      <c r="K16" s="39"/>
    </row>
    <row r="17" spans="1:11" ht="15">
      <c r="A17" s="147" t="s">
        <v>177</v>
      </c>
      <c r="B17" s="141"/>
      <c r="F17" s="82">
        <f>11731+133166</f>
        <v>144897</v>
      </c>
      <c r="G17" s="80">
        <v>0</v>
      </c>
      <c r="H17" s="53">
        <v>0</v>
      </c>
      <c r="I17" s="69">
        <f>21335+26357+194</f>
        <v>47886</v>
      </c>
      <c r="J17" s="39">
        <v>0</v>
      </c>
      <c r="K17" s="39">
        <f>SUM(F17:J17)</f>
        <v>192783</v>
      </c>
    </row>
    <row r="18" spans="1:8" ht="15">
      <c r="A18" s="147" t="s">
        <v>221</v>
      </c>
      <c r="B18" s="141"/>
      <c r="G18" s="2"/>
      <c r="H18" s="2"/>
    </row>
    <row r="19" spans="1:11" ht="15">
      <c r="A19" s="147"/>
      <c r="B19" s="147" t="s">
        <v>240</v>
      </c>
      <c r="F19" s="82">
        <v>0</v>
      </c>
      <c r="G19" s="80">
        <v>0</v>
      </c>
      <c r="H19" s="53">
        <v>-65979</v>
      </c>
      <c r="I19" s="69">
        <v>0</v>
      </c>
      <c r="J19" s="39">
        <v>0</v>
      </c>
      <c r="K19" s="39">
        <f>SUM(F19:J19)</f>
        <v>-65979</v>
      </c>
    </row>
    <row r="20" spans="1:11" ht="15">
      <c r="A20" s="4" t="s">
        <v>178</v>
      </c>
      <c r="B20" s="4"/>
      <c r="C20" s="4"/>
      <c r="D20" s="4"/>
      <c r="E20" s="4"/>
      <c r="F20" s="82">
        <v>0</v>
      </c>
      <c r="G20" s="82">
        <f>-Notes!J54</f>
        <v>-9169</v>
      </c>
      <c r="H20" s="53">
        <v>0</v>
      </c>
      <c r="I20" s="69">
        <v>0</v>
      </c>
      <c r="J20" s="69">
        <v>0</v>
      </c>
      <c r="K20" s="39">
        <f>SUM(F20:J20)</f>
        <v>-9169</v>
      </c>
    </row>
    <row r="21" spans="1:11" ht="15">
      <c r="A21" s="4" t="s">
        <v>179</v>
      </c>
      <c r="B21" s="4"/>
      <c r="C21" s="4"/>
      <c r="D21" s="4"/>
      <c r="E21" s="4"/>
      <c r="F21" s="82">
        <v>0</v>
      </c>
      <c r="G21" s="82">
        <v>0</v>
      </c>
      <c r="H21" s="53">
        <v>0</v>
      </c>
      <c r="I21" s="69">
        <v>-22007</v>
      </c>
      <c r="J21" s="69">
        <v>0</v>
      </c>
      <c r="K21" s="39">
        <f>SUM(F21:J21)</f>
        <v>-22007</v>
      </c>
    </row>
    <row r="22" spans="1:11" ht="15">
      <c r="A22" s="4" t="s">
        <v>166</v>
      </c>
      <c r="B22" s="4"/>
      <c r="C22" s="4"/>
      <c r="D22" s="4"/>
      <c r="E22" s="4"/>
      <c r="F22" s="82"/>
      <c r="G22" s="82"/>
      <c r="H22" s="53"/>
      <c r="I22" s="69"/>
      <c r="J22" s="69"/>
      <c r="K22" s="39"/>
    </row>
    <row r="23" spans="1:11" ht="15">
      <c r="A23" s="4"/>
      <c r="B23" s="4" t="s">
        <v>167</v>
      </c>
      <c r="C23" s="4"/>
      <c r="D23" s="4"/>
      <c r="E23" s="4"/>
      <c r="F23" s="82">
        <v>0</v>
      </c>
      <c r="G23" s="82">
        <v>0</v>
      </c>
      <c r="H23" s="53">
        <v>0</v>
      </c>
      <c r="I23" s="69">
        <v>-1138</v>
      </c>
      <c r="J23" s="69">
        <v>0</v>
      </c>
      <c r="K23" s="39">
        <f>SUM(F23:J23)</f>
        <v>-1138</v>
      </c>
    </row>
    <row r="24" spans="1:11" ht="15">
      <c r="A24" s="4" t="s">
        <v>274</v>
      </c>
      <c r="B24" s="4"/>
      <c r="C24" s="4"/>
      <c r="D24" s="4"/>
      <c r="E24" s="4"/>
      <c r="F24" s="82">
        <v>0</v>
      </c>
      <c r="G24" s="82">
        <v>0</v>
      </c>
      <c r="H24" s="53">
        <v>0</v>
      </c>
      <c r="I24" s="69">
        <v>0</v>
      </c>
      <c r="J24" s="69">
        <f>-156221-49272</f>
        <v>-205493</v>
      </c>
      <c r="K24" s="39">
        <f>SUM(F24:J24)</f>
        <v>-205493</v>
      </c>
    </row>
    <row r="25" spans="1:11" ht="15">
      <c r="A25" s="6" t="s">
        <v>150</v>
      </c>
      <c r="B25" s="6"/>
      <c r="C25" s="6"/>
      <c r="D25" s="6"/>
      <c r="E25" s="6"/>
      <c r="F25" s="98">
        <v>0</v>
      </c>
      <c r="G25" s="98">
        <v>0</v>
      </c>
      <c r="H25" s="155">
        <v>0</v>
      </c>
      <c r="I25" s="44">
        <v>0</v>
      </c>
      <c r="J25" s="44">
        <f>+PL!H28</f>
        <v>229498</v>
      </c>
      <c r="K25" s="44">
        <f>SUM(I25:J25)</f>
        <v>229498</v>
      </c>
    </row>
    <row r="26" spans="6:11" ht="3.75" customHeight="1">
      <c r="F26" s="27"/>
      <c r="H26" s="53"/>
      <c r="I26" s="39"/>
      <c r="J26" s="39"/>
      <c r="K26" s="39"/>
    </row>
    <row r="27" spans="1:11" ht="15">
      <c r="A27" s="172" t="str">
        <f>CONCATENATE("At ",TEXT('BS'!H8,"dd mmm yyyy"))</f>
        <v>At 31-1-2004</v>
      </c>
      <c r="B27" s="172"/>
      <c r="F27" s="39">
        <f aca="true" t="shared" si="0" ref="F27:K27">SUM(F15:F25)</f>
        <v>946212</v>
      </c>
      <c r="G27" s="39">
        <f t="shared" si="0"/>
        <v>-215258</v>
      </c>
      <c r="H27" s="39">
        <f t="shared" si="0"/>
        <v>174723</v>
      </c>
      <c r="I27" s="39">
        <f t="shared" si="0"/>
        <v>182560</v>
      </c>
      <c r="J27" s="39">
        <f t="shared" si="0"/>
        <v>604032</v>
      </c>
      <c r="K27" s="39">
        <f t="shared" si="0"/>
        <v>1692269</v>
      </c>
    </row>
    <row r="28" spans="1:11" ht="4.5" customHeight="1">
      <c r="A28" s="6"/>
      <c r="B28" s="6"/>
      <c r="C28" s="6"/>
      <c r="D28" s="6"/>
      <c r="E28" s="6"/>
      <c r="F28" s="97"/>
      <c r="G28" s="97"/>
      <c r="H28" s="155"/>
      <c r="I28" s="44"/>
      <c r="J28" s="44"/>
      <c r="K28" s="44"/>
    </row>
    <row r="29" spans="6:11" ht="15">
      <c r="F29" s="27"/>
      <c r="H29" s="53"/>
      <c r="I29" s="39"/>
      <c r="J29" s="39"/>
      <c r="K29" s="39"/>
    </row>
    <row r="30" spans="1:11" ht="4.5" customHeight="1">
      <c r="A30" s="4"/>
      <c r="B30" s="4"/>
      <c r="C30" s="4"/>
      <c r="D30" s="4"/>
      <c r="E30" s="4"/>
      <c r="F30" s="4"/>
      <c r="G30" s="60"/>
      <c r="H30" s="53"/>
      <c r="I30" s="69"/>
      <c r="J30" s="69"/>
      <c r="K30" s="69"/>
    </row>
    <row r="31" spans="1:11" ht="16.5" customHeight="1">
      <c r="A31" s="4"/>
      <c r="B31" s="4"/>
      <c r="C31" s="4"/>
      <c r="D31" s="4"/>
      <c r="E31" s="4"/>
      <c r="F31" s="4"/>
      <c r="G31" s="60"/>
      <c r="H31" s="53"/>
      <c r="I31" s="69"/>
      <c r="J31" s="69"/>
      <c r="K31" s="69"/>
    </row>
    <row r="32" spans="1:11" ht="15" customHeight="1">
      <c r="A32" s="141" t="s">
        <v>256</v>
      </c>
      <c r="B32" s="141"/>
      <c r="C32" s="4"/>
      <c r="D32" s="4"/>
      <c r="E32" s="4"/>
      <c r="F32" s="69">
        <v>584878</v>
      </c>
      <c r="G32" s="160">
        <v>-162993</v>
      </c>
      <c r="H32" s="53">
        <v>0</v>
      </c>
      <c r="I32" s="69">
        <v>145410</v>
      </c>
      <c r="J32" s="69">
        <v>1122921</v>
      </c>
      <c r="K32" s="69">
        <f>SUM(F32:J32)</f>
        <v>1690216</v>
      </c>
    </row>
    <row r="33" spans="1:11" ht="15">
      <c r="A33" s="141"/>
      <c r="B33" s="141"/>
      <c r="F33" s="39"/>
      <c r="G33" s="39"/>
      <c r="H33" s="39"/>
      <c r="I33" s="39"/>
      <c r="J33" s="77"/>
      <c r="K33" s="39"/>
    </row>
    <row r="34" spans="1:11" ht="15">
      <c r="A34" s="147" t="s">
        <v>177</v>
      </c>
      <c r="B34" s="141"/>
      <c r="F34" s="39">
        <v>151062</v>
      </c>
      <c r="G34" s="39">
        <v>0</v>
      </c>
      <c r="H34" s="39">
        <v>0</v>
      </c>
      <c r="I34" s="39">
        <v>35419</v>
      </c>
      <c r="J34" s="77">
        <v>0</v>
      </c>
      <c r="K34" s="39">
        <f>SUM(F34:J34)</f>
        <v>186481</v>
      </c>
    </row>
    <row r="35" spans="1:11" ht="15">
      <c r="A35" s="4" t="s">
        <v>178</v>
      </c>
      <c r="B35" s="4"/>
      <c r="F35" s="39">
        <v>0</v>
      </c>
      <c r="G35" s="39">
        <v>-40947</v>
      </c>
      <c r="H35" s="39">
        <v>0</v>
      </c>
      <c r="I35" s="39">
        <v>0</v>
      </c>
      <c r="J35" s="77">
        <v>0</v>
      </c>
      <c r="K35" s="39">
        <f aca="true" t="shared" si="1" ref="K35:K41">SUM(F35:J35)</f>
        <v>-40947</v>
      </c>
    </row>
    <row r="36" spans="1:11" ht="15">
      <c r="A36" s="4" t="s">
        <v>179</v>
      </c>
      <c r="B36" s="4"/>
      <c r="F36" s="39">
        <v>0</v>
      </c>
      <c r="G36" s="39">
        <v>0</v>
      </c>
      <c r="H36" s="39">
        <v>0</v>
      </c>
      <c r="I36" s="39">
        <v>-26002</v>
      </c>
      <c r="J36" s="77">
        <v>0</v>
      </c>
      <c r="K36" s="39">
        <f t="shared" si="1"/>
        <v>-26002</v>
      </c>
    </row>
    <row r="37" spans="1:11" ht="15">
      <c r="A37" s="4" t="s">
        <v>166</v>
      </c>
      <c r="B37" s="4"/>
      <c r="F37" s="39"/>
      <c r="G37" s="39"/>
      <c r="H37" s="39"/>
      <c r="I37" s="39"/>
      <c r="J37" s="77"/>
      <c r="K37" s="39"/>
    </row>
    <row r="38" spans="1:11" ht="15">
      <c r="A38" s="4"/>
      <c r="B38" s="4" t="s">
        <v>167</v>
      </c>
      <c r="F38" s="39">
        <v>0</v>
      </c>
      <c r="G38" s="39">
        <v>0</v>
      </c>
      <c r="H38" s="39">
        <v>0</v>
      </c>
      <c r="I38" s="39">
        <v>-1304</v>
      </c>
      <c r="J38" s="77">
        <v>0</v>
      </c>
      <c r="K38" s="39">
        <f t="shared" si="1"/>
        <v>-1304</v>
      </c>
    </row>
    <row r="39" spans="1:11" ht="15">
      <c r="A39" s="4" t="s">
        <v>257</v>
      </c>
      <c r="B39" s="4"/>
      <c r="F39" s="39">
        <v>0</v>
      </c>
      <c r="G39" s="39">
        <v>0</v>
      </c>
      <c r="H39" s="39">
        <v>0</v>
      </c>
      <c r="I39" s="39">
        <v>0</v>
      </c>
      <c r="J39" s="77">
        <v>-751349</v>
      </c>
      <c r="K39" s="39">
        <f t="shared" si="1"/>
        <v>-751349</v>
      </c>
    </row>
    <row r="40" spans="1:11" ht="15">
      <c r="A40" s="4" t="s">
        <v>293</v>
      </c>
      <c r="B40" s="4"/>
      <c r="F40" s="39">
        <v>0</v>
      </c>
      <c r="G40" s="39">
        <v>0</v>
      </c>
      <c r="H40" s="39">
        <v>0</v>
      </c>
      <c r="I40" s="39">
        <v>0</v>
      </c>
      <c r="J40" s="77">
        <v>877</v>
      </c>
      <c r="K40" s="39">
        <f t="shared" si="1"/>
        <v>877</v>
      </c>
    </row>
    <row r="41" spans="1:11" ht="15">
      <c r="A41" s="6" t="s">
        <v>150</v>
      </c>
      <c r="B41" s="6"/>
      <c r="C41" s="6"/>
      <c r="D41" s="6"/>
      <c r="E41" s="6"/>
      <c r="F41" s="44">
        <v>0</v>
      </c>
      <c r="G41" s="44">
        <v>0</v>
      </c>
      <c r="H41" s="44">
        <v>0</v>
      </c>
      <c r="I41" s="44">
        <v>0</v>
      </c>
      <c r="J41" s="142">
        <f>+PL!I28</f>
        <v>208073</v>
      </c>
      <c r="K41" s="44">
        <f t="shared" si="1"/>
        <v>208073</v>
      </c>
    </row>
    <row r="42" spans="6:11" ht="4.5" customHeight="1">
      <c r="F42" s="39"/>
      <c r="G42" s="39"/>
      <c r="H42" s="39"/>
      <c r="I42" s="39"/>
      <c r="J42" s="77"/>
      <c r="K42" s="39"/>
    </row>
    <row r="43" spans="1:11" ht="15">
      <c r="A43" s="172" t="s">
        <v>292</v>
      </c>
      <c r="B43" s="172"/>
      <c r="F43" s="39">
        <f aca="true" t="shared" si="2" ref="F43:K43">SUM(F32:F41)</f>
        <v>735940</v>
      </c>
      <c r="G43" s="39">
        <f t="shared" si="2"/>
        <v>-203940</v>
      </c>
      <c r="H43" s="39">
        <f t="shared" si="2"/>
        <v>0</v>
      </c>
      <c r="I43" s="39">
        <f t="shared" si="2"/>
        <v>153523</v>
      </c>
      <c r="J43" s="39">
        <f t="shared" si="2"/>
        <v>580522</v>
      </c>
      <c r="K43" s="39">
        <f t="shared" si="2"/>
        <v>1266045</v>
      </c>
    </row>
    <row r="44" spans="1:11" ht="5.25" customHeight="1">
      <c r="A44" s="6"/>
      <c r="B44" s="6"/>
      <c r="C44" s="6"/>
      <c r="D44" s="6"/>
      <c r="E44" s="6"/>
      <c r="F44" s="44"/>
      <c r="G44" s="44"/>
      <c r="H44" s="44"/>
      <c r="I44" s="44"/>
      <c r="J44" s="142"/>
      <c r="K44" s="44"/>
    </row>
    <row r="45" spans="6:11" ht="15">
      <c r="F45" s="39"/>
      <c r="G45" s="39"/>
      <c r="H45" s="39"/>
      <c r="I45" s="39"/>
      <c r="J45" s="77"/>
      <c r="K45" s="39"/>
    </row>
    <row r="46" spans="6:11" ht="15">
      <c r="F46" s="39"/>
      <c r="G46" s="39"/>
      <c r="H46" s="39"/>
      <c r="I46" s="39"/>
      <c r="J46" s="77"/>
      <c r="K46" s="39"/>
    </row>
    <row r="47" spans="6:11" ht="15">
      <c r="F47" s="39"/>
      <c r="G47" s="39"/>
      <c r="H47" s="39"/>
      <c r="I47" s="39"/>
      <c r="J47" s="77"/>
      <c r="K47" s="39"/>
    </row>
    <row r="48" spans="6:11" ht="15">
      <c r="F48" s="39"/>
      <c r="G48" s="39"/>
      <c r="H48" s="39"/>
      <c r="I48" s="39"/>
      <c r="J48" s="77"/>
      <c r="K48" s="39"/>
    </row>
    <row r="49" spans="6:11" ht="15">
      <c r="F49" s="39"/>
      <c r="G49" s="39"/>
      <c r="H49" s="39"/>
      <c r="I49" s="39"/>
      <c r="J49" s="77"/>
      <c r="K49" s="39"/>
    </row>
    <row r="50" spans="6:11" ht="15">
      <c r="F50" s="39"/>
      <c r="G50" s="39"/>
      <c r="H50" s="39"/>
      <c r="I50" s="39"/>
      <c r="J50" s="77"/>
      <c r="K50" s="39"/>
    </row>
    <row r="51" spans="6:11" ht="15">
      <c r="F51" s="39"/>
      <c r="G51" s="53"/>
      <c r="H51" s="53"/>
      <c r="I51" s="39"/>
      <c r="J51" s="39"/>
      <c r="K51" s="39"/>
    </row>
    <row r="52" spans="6:11" ht="15.75" customHeight="1">
      <c r="F52" s="39"/>
      <c r="G52" s="53"/>
      <c r="H52" s="53"/>
      <c r="I52" s="39"/>
      <c r="J52" s="39"/>
      <c r="K52" s="39"/>
    </row>
    <row r="53" spans="1:11" ht="15">
      <c r="A53" s="5" t="s">
        <v>172</v>
      </c>
      <c r="F53" s="39"/>
      <c r="G53" s="53"/>
      <c r="H53" s="53"/>
      <c r="I53" s="39"/>
      <c r="J53" s="39"/>
      <c r="K53" s="39"/>
    </row>
    <row r="54" spans="6:11" ht="11.25" customHeight="1">
      <c r="F54" s="39"/>
      <c r="G54" s="53"/>
      <c r="H54" s="53"/>
      <c r="I54" s="39"/>
      <c r="J54" s="39"/>
      <c r="K54" s="39"/>
    </row>
    <row r="55" spans="6:11" ht="15">
      <c r="F55" s="39"/>
      <c r="G55" s="53"/>
      <c r="H55" s="53"/>
      <c r="I55" s="39"/>
      <c r="J55" s="39"/>
      <c r="K55" s="39"/>
    </row>
    <row r="56" spans="6:13" ht="15">
      <c r="F56" s="39"/>
      <c r="G56" s="53"/>
      <c r="H56" s="53"/>
      <c r="I56" s="39"/>
      <c r="J56" s="39"/>
      <c r="K56" s="53"/>
      <c r="L56" s="27"/>
      <c r="M56" s="27" t="s">
        <v>30</v>
      </c>
    </row>
    <row r="57" spans="6:11" ht="15">
      <c r="F57" s="39"/>
      <c r="G57" s="53"/>
      <c r="H57" s="53"/>
      <c r="I57" s="39"/>
      <c r="J57" s="39"/>
      <c r="K57" s="39"/>
    </row>
    <row r="58" spans="6:11" ht="15">
      <c r="F58" s="39"/>
      <c r="G58" s="53"/>
      <c r="H58" s="53"/>
      <c r="I58" s="39"/>
      <c r="J58" s="39"/>
      <c r="K58" s="39"/>
    </row>
    <row r="59" spans="6:11" ht="15">
      <c r="F59" s="39"/>
      <c r="G59" s="53"/>
      <c r="H59" s="53"/>
      <c r="I59" s="39"/>
      <c r="J59" s="39"/>
      <c r="K59" s="39"/>
    </row>
    <row r="60" spans="6:11" ht="15">
      <c r="F60" s="39"/>
      <c r="G60" s="53"/>
      <c r="H60" s="53"/>
      <c r="I60" s="39"/>
      <c r="J60" s="39"/>
      <c r="K60" s="39"/>
    </row>
    <row r="61" spans="6:11" ht="15">
      <c r="F61" s="39"/>
      <c r="G61" s="53"/>
      <c r="H61" s="53"/>
      <c r="I61" s="39"/>
      <c r="J61" s="39"/>
      <c r="K61" s="39"/>
    </row>
    <row r="62" spans="9:11" ht="15"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  <row r="83" spans="9:11" ht="15">
      <c r="I83" s="39"/>
      <c r="J83" s="39"/>
      <c r="K83" s="39"/>
    </row>
    <row r="84" spans="9:11" ht="15">
      <c r="I84" s="39"/>
      <c r="J84" s="39"/>
      <c r="K84" s="39"/>
    </row>
    <row r="85" spans="9:11" ht="15">
      <c r="I85" s="39"/>
      <c r="J85" s="39"/>
      <c r="K85" s="39"/>
    </row>
    <row r="86" spans="9:11" ht="15">
      <c r="I86" s="39"/>
      <c r="J86" s="39"/>
      <c r="K86" s="39"/>
    </row>
  </sheetData>
  <mergeCells count="3">
    <mergeCell ref="A27:B27"/>
    <mergeCell ref="A43:B43"/>
    <mergeCell ref="I10:J10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31-1-2004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1"/>
  <sheetViews>
    <sheetView showGridLines="0" workbookViewId="0" topLeftCell="A15">
      <selection activeCell="A27" sqref="A27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72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INTERIM FINANCIAL REPORT FOR THE PERIOD ENDED 31 JANUARY 2004</v>
      </c>
    </row>
    <row r="5" spans="1:10" s="4" customFormat="1" ht="15.75" thickBot="1">
      <c r="A5" s="153" t="s">
        <v>92</v>
      </c>
      <c r="B5" s="10"/>
      <c r="C5" s="10"/>
      <c r="D5" s="10"/>
      <c r="E5" s="10"/>
      <c r="F5" s="10"/>
      <c r="G5" s="10"/>
      <c r="H5" s="10"/>
      <c r="I5" s="10"/>
      <c r="J5" s="154"/>
    </row>
    <row r="6" spans="1:10" ht="15">
      <c r="A6" s="4"/>
      <c r="B6" s="4"/>
      <c r="C6" s="4"/>
      <c r="D6" s="4"/>
      <c r="E6" s="4"/>
      <c r="F6" s="4"/>
      <c r="G6" s="4"/>
      <c r="H6" s="12" t="s">
        <v>294</v>
      </c>
      <c r="I6" s="12"/>
      <c r="J6" s="12" t="s">
        <v>294</v>
      </c>
    </row>
    <row r="7" spans="1:10" ht="15">
      <c r="A7" s="4"/>
      <c r="B7" s="4"/>
      <c r="C7" s="4"/>
      <c r="D7" s="4"/>
      <c r="E7" s="4"/>
      <c r="F7" s="4"/>
      <c r="G7" s="4"/>
      <c r="H7" s="12" t="s">
        <v>290</v>
      </c>
      <c r="I7" s="12"/>
      <c r="J7" s="12" t="s">
        <v>291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2</v>
      </c>
      <c r="I8" s="1"/>
      <c r="J8" s="1" t="s">
        <v>2</v>
      </c>
    </row>
    <row r="9" spans="8:10" ht="1.5" customHeight="1">
      <c r="H9" s="93"/>
      <c r="I9" s="93"/>
      <c r="J9" s="93"/>
    </row>
    <row r="10" spans="1:10" ht="15">
      <c r="A10" s="5" t="s">
        <v>185</v>
      </c>
      <c r="H10" s="93"/>
      <c r="I10" s="93"/>
      <c r="J10" s="93"/>
    </row>
    <row r="11" spans="1:10" ht="15">
      <c r="A11" s="2" t="s">
        <v>193</v>
      </c>
      <c r="H11" s="93">
        <v>2042014</v>
      </c>
      <c r="I11" s="93"/>
      <c r="J11" s="93">
        <v>1717805</v>
      </c>
    </row>
    <row r="12" spans="1:10" ht="15">
      <c r="A12" s="2" t="s">
        <v>213</v>
      </c>
      <c r="H12" s="93"/>
      <c r="I12" s="93"/>
      <c r="J12" s="93"/>
    </row>
    <row r="13" spans="2:10" ht="15">
      <c r="B13" s="2" t="s">
        <v>212</v>
      </c>
      <c r="H13" s="93">
        <f>-1419361-280338-97395</f>
        <v>-1797094</v>
      </c>
      <c r="I13" s="93"/>
      <c r="J13" s="93">
        <v>-1550911</v>
      </c>
    </row>
    <row r="14" spans="1:10" ht="15">
      <c r="A14" s="2" t="s">
        <v>186</v>
      </c>
      <c r="H14" s="93">
        <v>156</v>
      </c>
      <c r="I14" s="93"/>
      <c r="J14" s="93">
        <v>1664</v>
      </c>
    </row>
    <row r="15" spans="1:10" ht="15">
      <c r="A15" s="5" t="s">
        <v>104</v>
      </c>
      <c r="B15" s="5"/>
      <c r="C15" s="5"/>
      <c r="D15" s="5"/>
      <c r="E15" s="5"/>
      <c r="F15" s="5"/>
      <c r="G15" s="5"/>
      <c r="H15" s="150">
        <f>SUM(H11:H14)</f>
        <v>245076</v>
      </c>
      <c r="I15" s="151"/>
      <c r="J15" s="150">
        <f>SUM(J11:J14)</f>
        <v>168558</v>
      </c>
    </row>
    <row r="16" spans="1:10" ht="3" customHeight="1">
      <c r="A16" s="5"/>
      <c r="B16" s="5"/>
      <c r="C16" s="5"/>
      <c r="D16" s="5"/>
      <c r="E16" s="5"/>
      <c r="F16" s="5"/>
      <c r="G16" s="5"/>
      <c r="H16" s="93"/>
      <c r="I16" s="93"/>
      <c r="J16" s="93"/>
    </row>
    <row r="17" spans="1:10" ht="15">
      <c r="A17" s="5" t="s">
        <v>187</v>
      </c>
      <c r="B17" s="5"/>
      <c r="C17" s="5"/>
      <c r="D17" s="5"/>
      <c r="E17" s="5"/>
      <c r="F17" s="5"/>
      <c r="G17" s="5"/>
      <c r="H17" s="93"/>
      <c r="I17" s="93"/>
      <c r="J17" s="93"/>
    </row>
    <row r="18" spans="1:10" ht="15">
      <c r="A18" s="2" t="s">
        <v>194</v>
      </c>
      <c r="B18" s="5"/>
      <c r="C18" s="5"/>
      <c r="D18" s="5"/>
      <c r="E18" s="5"/>
      <c r="F18" s="5"/>
      <c r="G18" s="5"/>
      <c r="H18" s="93">
        <v>590</v>
      </c>
      <c r="I18" s="93"/>
      <c r="J18" s="93">
        <v>4841</v>
      </c>
    </row>
    <row r="19" spans="1:10" ht="15">
      <c r="A19" s="2" t="s">
        <v>195</v>
      </c>
      <c r="B19" s="5"/>
      <c r="C19" s="5"/>
      <c r="D19" s="5"/>
      <c r="E19" s="5"/>
      <c r="F19" s="5"/>
      <c r="G19" s="5"/>
      <c r="H19" s="93">
        <v>-30391</v>
      </c>
      <c r="I19" s="93"/>
      <c r="J19" s="93">
        <v>-41243</v>
      </c>
    </row>
    <row r="20" spans="1:10" ht="15">
      <c r="A20" s="2" t="s">
        <v>275</v>
      </c>
      <c r="B20" s="5"/>
      <c r="C20" s="5"/>
      <c r="D20" s="5"/>
      <c r="E20" s="5"/>
      <c r="F20" s="5"/>
      <c r="G20" s="5"/>
      <c r="H20" s="93">
        <v>-5500</v>
      </c>
      <c r="I20" s="93"/>
      <c r="J20" s="93">
        <v>0</v>
      </c>
    </row>
    <row r="21" spans="1:10" ht="15">
      <c r="A21" s="2" t="s">
        <v>188</v>
      </c>
      <c r="B21" s="5"/>
      <c r="C21" s="5"/>
      <c r="D21" s="5"/>
      <c r="E21" s="5"/>
      <c r="F21" s="5"/>
      <c r="G21" s="5"/>
      <c r="H21" s="93">
        <f>-21913</f>
        <v>-21913</v>
      </c>
      <c r="I21" s="93"/>
      <c r="J21" s="93">
        <v>-10246</v>
      </c>
    </row>
    <row r="22" spans="1:10" ht="15">
      <c r="A22" s="2" t="s">
        <v>296</v>
      </c>
      <c r="B22" s="5"/>
      <c r="C22" s="5"/>
      <c r="D22" s="5"/>
      <c r="E22" s="5"/>
      <c r="F22" s="5"/>
      <c r="G22" s="5"/>
      <c r="H22" s="93">
        <v>-3944</v>
      </c>
      <c r="I22" s="93"/>
      <c r="J22" s="93">
        <v>-3021</v>
      </c>
    </row>
    <row r="23" spans="1:10" ht="15">
      <c r="A23" s="2" t="s">
        <v>197</v>
      </c>
      <c r="B23" s="5"/>
      <c r="C23" s="5"/>
      <c r="D23" s="5"/>
      <c r="E23" s="5"/>
      <c r="F23" s="5"/>
      <c r="G23" s="5"/>
      <c r="H23" s="93">
        <f>100322+8</f>
        <v>100330</v>
      </c>
      <c r="I23" s="93"/>
      <c r="J23" s="93">
        <v>75108</v>
      </c>
    </row>
    <row r="24" spans="1:10" ht="15">
      <c r="A24" s="2" t="s">
        <v>277</v>
      </c>
      <c r="B24" s="5"/>
      <c r="C24" s="5"/>
      <c r="D24" s="5"/>
      <c r="E24" s="5"/>
      <c r="F24" s="5"/>
      <c r="G24" s="5"/>
      <c r="H24" s="93">
        <v>-1264</v>
      </c>
      <c r="I24" s="93"/>
      <c r="J24" s="93">
        <v>0</v>
      </c>
    </row>
    <row r="25" spans="1:10" ht="15">
      <c r="A25" s="2" t="s">
        <v>198</v>
      </c>
      <c r="B25" s="5"/>
      <c r="C25" s="5"/>
      <c r="D25" s="5"/>
      <c r="E25" s="5"/>
      <c r="F25" s="5"/>
      <c r="G25" s="5"/>
      <c r="H25" s="93">
        <f>3833+591</f>
        <v>4424</v>
      </c>
      <c r="I25" s="93"/>
      <c r="J25" s="93">
        <v>2921</v>
      </c>
    </row>
    <row r="26" spans="1:10" ht="15">
      <c r="A26" s="5" t="s">
        <v>385</v>
      </c>
      <c r="B26" s="5"/>
      <c r="C26" s="5"/>
      <c r="D26" s="5"/>
      <c r="E26" s="5"/>
      <c r="F26" s="5"/>
      <c r="G26" s="5"/>
      <c r="H26" s="150">
        <f>SUM(H18:H25)</f>
        <v>42332</v>
      </c>
      <c r="I26" s="151"/>
      <c r="J26" s="150">
        <f>SUM(J18:J25)</f>
        <v>28360</v>
      </c>
    </row>
    <row r="27" spans="1:10" ht="3.75" customHeight="1">
      <c r="A27" s="5"/>
      <c r="B27" s="5"/>
      <c r="C27" s="5"/>
      <c r="D27" s="5"/>
      <c r="E27" s="5"/>
      <c r="F27" s="5"/>
      <c r="G27" s="5"/>
      <c r="H27" s="151"/>
      <c r="I27" s="151"/>
      <c r="J27" s="151"/>
    </row>
    <row r="28" spans="1:10" ht="15">
      <c r="A28" s="5" t="s">
        <v>189</v>
      </c>
      <c r="B28" s="5"/>
      <c r="C28" s="5"/>
      <c r="D28" s="5"/>
      <c r="E28" s="5"/>
      <c r="F28" s="5"/>
      <c r="G28" s="5"/>
      <c r="H28" s="151"/>
      <c r="I28" s="151"/>
      <c r="J28" s="151"/>
    </row>
    <row r="29" spans="1:10" ht="15">
      <c r="A29" s="2" t="s">
        <v>190</v>
      </c>
      <c r="B29" s="5"/>
      <c r="C29" s="5"/>
      <c r="D29" s="5"/>
      <c r="E29" s="5"/>
      <c r="F29" s="5"/>
      <c r="G29" s="5"/>
      <c r="H29" s="151">
        <v>62540</v>
      </c>
      <c r="I29" s="151"/>
      <c r="J29" s="151">
        <v>31694</v>
      </c>
    </row>
    <row r="30" spans="1:10" ht="15">
      <c r="A30" s="2" t="s">
        <v>259</v>
      </c>
      <c r="B30" s="5"/>
      <c r="C30" s="5"/>
      <c r="D30" s="5"/>
      <c r="E30" s="5"/>
      <c r="F30" s="5"/>
      <c r="G30" s="5"/>
      <c r="H30" s="151">
        <v>0</v>
      </c>
      <c r="I30" s="151"/>
      <c r="J30" s="151">
        <v>65767</v>
      </c>
    </row>
    <row r="31" spans="1:10" ht="15">
      <c r="A31" s="2" t="s">
        <v>258</v>
      </c>
      <c r="B31" s="5"/>
      <c r="C31" s="5"/>
      <c r="D31" s="5"/>
      <c r="E31" s="5"/>
      <c r="F31" s="5"/>
      <c r="G31" s="5"/>
      <c r="H31" s="151">
        <v>-6384</v>
      </c>
      <c r="I31" s="151"/>
      <c r="J31" s="151">
        <v>-288</v>
      </c>
    </row>
    <row r="32" spans="1:10" ht="15">
      <c r="A32" s="2" t="s">
        <v>191</v>
      </c>
      <c r="B32" s="5"/>
      <c r="C32" s="5"/>
      <c r="D32" s="5"/>
      <c r="E32" s="5"/>
      <c r="F32" s="5"/>
      <c r="G32" s="5"/>
      <c r="H32" s="151">
        <v>-9169</v>
      </c>
      <c r="I32" s="151"/>
      <c r="J32" s="151">
        <v>-40947</v>
      </c>
    </row>
    <row r="33" spans="1:10" ht="15">
      <c r="A33" s="2" t="s">
        <v>196</v>
      </c>
      <c r="B33" s="5"/>
      <c r="C33" s="5"/>
      <c r="D33" s="5"/>
      <c r="E33" s="5"/>
      <c r="F33" s="5"/>
      <c r="G33" s="5"/>
      <c r="H33" s="151">
        <v>-175837</v>
      </c>
      <c r="I33" s="151"/>
      <c r="J33" s="151">
        <v>-213382</v>
      </c>
    </row>
    <row r="34" spans="1:10" ht="15">
      <c r="A34" s="2" t="s">
        <v>215</v>
      </c>
      <c r="B34" s="5"/>
      <c r="C34" s="5"/>
      <c r="D34" s="5"/>
      <c r="E34" s="5"/>
      <c r="F34" s="5"/>
      <c r="G34" s="5"/>
      <c r="H34" s="151">
        <v>-21928</v>
      </c>
      <c r="I34" s="151"/>
      <c r="J34" s="151">
        <v>0</v>
      </c>
    </row>
    <row r="35" spans="1:10" ht="15">
      <c r="A35" s="2" t="s">
        <v>192</v>
      </c>
      <c r="B35" s="5"/>
      <c r="C35" s="5"/>
      <c r="D35" s="5"/>
      <c r="E35" s="5"/>
      <c r="F35" s="5"/>
      <c r="G35" s="5"/>
      <c r="H35" s="151">
        <f>-327</f>
        <v>-327</v>
      </c>
      <c r="I35" s="151"/>
      <c r="J35" s="151">
        <v>-759</v>
      </c>
    </row>
    <row r="36" spans="1:10" ht="15">
      <c r="A36" s="8" t="s">
        <v>105</v>
      </c>
      <c r="B36" s="5"/>
      <c r="C36" s="5"/>
      <c r="D36" s="5"/>
      <c r="E36" s="5"/>
      <c r="F36" s="5"/>
      <c r="G36" s="5"/>
      <c r="H36" s="150">
        <f>SUM(H29:H35)</f>
        <v>-151105</v>
      </c>
      <c r="I36" s="151"/>
      <c r="J36" s="150">
        <f>SUM(J29:J35)</f>
        <v>-157915</v>
      </c>
    </row>
    <row r="37" spans="1:10" ht="3" customHeight="1">
      <c r="A37" s="74"/>
      <c r="B37" s="74"/>
      <c r="C37" s="74"/>
      <c r="D37" s="74"/>
      <c r="E37" s="74"/>
      <c r="F37" s="74"/>
      <c r="G37" s="74"/>
      <c r="H37" s="94"/>
      <c r="I37" s="94"/>
      <c r="J37" s="94"/>
    </row>
    <row r="38" spans="1:10" ht="15">
      <c r="A38" s="2" t="s">
        <v>252</v>
      </c>
      <c r="H38" s="93">
        <f>+H36+H26+H15</f>
        <v>136303</v>
      </c>
      <c r="I38" s="93"/>
      <c r="J38" s="93">
        <f>+J36+J26+J15</f>
        <v>39003</v>
      </c>
    </row>
    <row r="39" spans="4:11" ht="3" customHeight="1">
      <c r="D39" s="109"/>
      <c r="H39" s="93"/>
      <c r="I39" s="93"/>
      <c r="J39" s="93"/>
      <c r="K39" s="108"/>
    </row>
    <row r="40" spans="1:10" ht="15">
      <c r="A40" s="109" t="s">
        <v>214</v>
      </c>
      <c r="H40" s="93">
        <v>141146</v>
      </c>
      <c r="I40" s="93"/>
      <c r="J40" s="93">
        <v>155899</v>
      </c>
    </row>
    <row r="41" spans="1:10" ht="15">
      <c r="A41" s="152" t="s">
        <v>121</v>
      </c>
      <c r="B41" s="6"/>
      <c r="C41" s="6"/>
      <c r="D41" s="6"/>
      <c r="E41" s="6"/>
      <c r="F41" s="6"/>
      <c r="G41" s="6"/>
      <c r="H41" s="94">
        <v>-492</v>
      </c>
      <c r="I41" s="94"/>
      <c r="J41" s="94">
        <v>-57</v>
      </c>
    </row>
    <row r="42" spans="1:10" ht="15.75" thickBot="1">
      <c r="A42" s="113" t="s">
        <v>295</v>
      </c>
      <c r="B42" s="10"/>
      <c r="C42" s="10"/>
      <c r="D42" s="10"/>
      <c r="E42" s="10"/>
      <c r="F42" s="10"/>
      <c r="G42" s="10"/>
      <c r="H42" s="95">
        <f>SUM(H38:H41)</f>
        <v>276957</v>
      </c>
      <c r="I42" s="95"/>
      <c r="J42" s="95">
        <f>SUM(J38:J41)</f>
        <v>194845</v>
      </c>
    </row>
    <row r="43" spans="8:10" ht="4.5" customHeight="1">
      <c r="H43" s="93"/>
      <c r="I43" s="93"/>
      <c r="J43" s="93"/>
    </row>
    <row r="44" spans="8:10" ht="15">
      <c r="H44" s="12" t="s">
        <v>294</v>
      </c>
      <c r="I44" s="12"/>
      <c r="J44" s="12" t="s">
        <v>294</v>
      </c>
    </row>
    <row r="45" spans="8:10" ht="15">
      <c r="H45" s="12" t="str">
        <f>+H7</f>
        <v>31-1-2004</v>
      </c>
      <c r="I45" s="12"/>
      <c r="J45" s="12" t="str">
        <f>+J7</f>
        <v>31-1-2003</v>
      </c>
    </row>
    <row r="46" spans="8:10" ht="15.75" thickBot="1">
      <c r="H46" s="1" t="s">
        <v>2</v>
      </c>
      <c r="I46" s="1"/>
      <c r="J46" s="1" t="s">
        <v>2</v>
      </c>
    </row>
    <row r="47" spans="1:9" ht="15">
      <c r="A47" s="2" t="s">
        <v>122</v>
      </c>
      <c r="H47" s="72"/>
      <c r="I47" s="72"/>
    </row>
    <row r="48" spans="1:8" ht="15">
      <c r="A48" s="2" t="s">
        <v>255</v>
      </c>
      <c r="H48" s="72"/>
    </row>
    <row r="49" spans="2:10" ht="15">
      <c r="B49" s="2" t="s">
        <v>100</v>
      </c>
      <c r="H49" s="77">
        <v>90743</v>
      </c>
      <c r="I49" s="77"/>
      <c r="J49" s="77">
        <v>40373</v>
      </c>
    </row>
    <row r="50" spans="2:10" ht="15">
      <c r="B50" s="2" t="s">
        <v>114</v>
      </c>
      <c r="H50" s="77">
        <v>186214</v>
      </c>
      <c r="I50" s="77"/>
      <c r="J50" s="77">
        <v>154472</v>
      </c>
    </row>
    <row r="51" spans="8:10" ht="15.75" thickBot="1">
      <c r="H51" s="118">
        <f>+H49+H50</f>
        <v>276957</v>
      </c>
      <c r="I51" s="118"/>
      <c r="J51" s="118">
        <f>+J49+J50</f>
        <v>194845</v>
      </c>
    </row>
    <row r="52" spans="8:10" ht="3" customHeight="1" thickTop="1">
      <c r="H52" s="77"/>
      <c r="J52" s="77"/>
    </row>
    <row r="53" spans="8:10" ht="15">
      <c r="H53" s="77"/>
      <c r="J53" s="77"/>
    </row>
    <row r="54" ht="15">
      <c r="J54" s="77"/>
    </row>
    <row r="55" ht="15">
      <c r="J55" s="77"/>
    </row>
    <row r="56" ht="15">
      <c r="J56" s="77"/>
    </row>
    <row r="57" ht="3" customHeight="1">
      <c r="J57" s="77"/>
    </row>
    <row r="58" ht="1.5" customHeight="1" hidden="1">
      <c r="J58" s="77"/>
    </row>
    <row r="59" ht="0.75" customHeight="1" hidden="1">
      <c r="J59" s="77"/>
    </row>
    <row r="60" ht="1.5" customHeight="1" hidden="1">
      <c r="J60" s="77"/>
    </row>
    <row r="61" spans="1:10" ht="15">
      <c r="A61" s="5" t="s">
        <v>172</v>
      </c>
      <c r="J61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31-1-2004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3"/>
  <sheetViews>
    <sheetView showGridLines="0" workbookViewId="0" topLeftCell="A134">
      <selection activeCell="B146" sqref="B146"/>
    </sheetView>
  </sheetViews>
  <sheetFormatPr defaultColWidth="9.140625" defaultRowHeight="12.75"/>
  <cols>
    <col min="1" max="1" width="4.57421875" style="56" customWidth="1"/>
    <col min="2" max="2" width="4.28125" style="56" customWidth="1"/>
    <col min="3" max="3" width="8.421875" style="39" customWidth="1"/>
    <col min="4" max="4" width="9.00390625" style="39" customWidth="1"/>
    <col min="5" max="6" width="9.421875" style="39" customWidth="1"/>
    <col min="7" max="7" width="8.57421875" style="39" customWidth="1"/>
    <col min="8" max="8" width="11.003906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6.00390625" style="39" hidden="1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8.2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7.5" customHeight="1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INTERIM FINANCIAL REPORT FOR THE PERIOD ENDED 31 JANUARY 2004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4" ht="14.25" customHeight="1">
      <c r="A5" s="54" t="s">
        <v>26</v>
      </c>
      <c r="C5" s="56"/>
      <c r="D5" s="56"/>
    </row>
    <row r="6" spans="1:4" ht="10.5" customHeight="1">
      <c r="A6" s="54"/>
      <c r="C6" s="56"/>
      <c r="D6" s="56"/>
    </row>
    <row r="7" spans="1:4" ht="15">
      <c r="A7" s="56" t="s">
        <v>37</v>
      </c>
      <c r="B7" s="56" t="s">
        <v>48</v>
      </c>
      <c r="C7" s="56"/>
      <c r="D7" s="56"/>
    </row>
    <row r="8" ht="15">
      <c r="B8" s="56" t="s">
        <v>49</v>
      </c>
    </row>
    <row r="9" spans="3:4" ht="12" customHeight="1">
      <c r="C9" s="56"/>
      <c r="D9" s="56"/>
    </row>
    <row r="10" spans="2:4" ht="15">
      <c r="B10" s="56" t="s">
        <v>101</v>
      </c>
      <c r="C10" s="56"/>
      <c r="D10" s="56"/>
    </row>
    <row r="11" ht="15">
      <c r="B11" s="56" t="s">
        <v>241</v>
      </c>
    </row>
    <row r="12" spans="3:4" ht="12" customHeight="1">
      <c r="C12" s="56"/>
      <c r="D12" s="56"/>
    </row>
    <row r="13" spans="2:4" ht="15">
      <c r="B13" s="56" t="s">
        <v>35</v>
      </c>
      <c r="C13" s="56"/>
      <c r="D13" s="56"/>
    </row>
    <row r="14" spans="2:3" ht="15">
      <c r="B14" s="56" t="s">
        <v>226</v>
      </c>
      <c r="C14" s="56"/>
    </row>
    <row r="15" spans="2:4" ht="15">
      <c r="B15" s="56" t="s">
        <v>227</v>
      </c>
      <c r="C15" s="56"/>
      <c r="D15" s="56"/>
    </row>
    <row r="16" ht="15">
      <c r="D16" s="56"/>
    </row>
    <row r="17" spans="1:4" ht="15">
      <c r="A17" s="56" t="s">
        <v>38</v>
      </c>
      <c r="B17" s="56" t="s">
        <v>242</v>
      </c>
      <c r="C17" s="56"/>
      <c r="D17" s="56"/>
    </row>
    <row r="18" spans="2:4" ht="15">
      <c r="B18" s="56" t="s">
        <v>34</v>
      </c>
      <c r="C18" s="56"/>
      <c r="D18" s="56"/>
    </row>
    <row r="20" spans="1:4" ht="15">
      <c r="A20" s="56" t="s">
        <v>39</v>
      </c>
      <c r="B20" s="56" t="s">
        <v>103</v>
      </c>
      <c r="C20" s="56"/>
      <c r="D20" s="56"/>
    </row>
    <row r="21" ht="15">
      <c r="B21" s="56" t="s">
        <v>173</v>
      </c>
    </row>
    <row r="23" spans="1:4" ht="15">
      <c r="A23" s="56" t="s">
        <v>40</v>
      </c>
      <c r="B23" s="56" t="s">
        <v>243</v>
      </c>
      <c r="C23" s="56"/>
      <c r="D23" s="56"/>
    </row>
    <row r="24" spans="2:3" ht="15">
      <c r="B24" s="56" t="s">
        <v>260</v>
      </c>
      <c r="C24" s="57"/>
    </row>
    <row r="25" spans="2:3" ht="15">
      <c r="B25" s="56" t="s">
        <v>297</v>
      </c>
      <c r="C25" s="57"/>
    </row>
    <row r="26" ht="11.25" customHeight="1">
      <c r="C26" s="57"/>
    </row>
    <row r="27" spans="2:3" ht="15">
      <c r="B27" s="56" t="s">
        <v>261</v>
      </c>
      <c r="C27" s="57"/>
    </row>
    <row r="28" spans="2:3" ht="15">
      <c r="B28" s="56" t="s">
        <v>262</v>
      </c>
      <c r="C28" s="57"/>
    </row>
    <row r="29" ht="15">
      <c r="C29" s="57"/>
    </row>
    <row r="30" spans="1:3" ht="15">
      <c r="A30" s="56" t="s">
        <v>41</v>
      </c>
      <c r="B30" s="56" t="s">
        <v>298</v>
      </c>
      <c r="C30" s="57"/>
    </row>
    <row r="31" ht="15">
      <c r="B31" s="56" t="s">
        <v>299</v>
      </c>
    </row>
    <row r="32" spans="2:4" ht="15">
      <c r="B32" s="56" t="s">
        <v>300</v>
      </c>
      <c r="C32" s="58"/>
      <c r="D32" s="58"/>
    </row>
    <row r="33" spans="2:4" ht="15">
      <c r="B33" s="56" t="s">
        <v>301</v>
      </c>
      <c r="C33" s="58"/>
      <c r="D33" s="58"/>
    </row>
    <row r="34" spans="2:4" ht="15">
      <c r="B34" s="56" t="s">
        <v>302</v>
      </c>
      <c r="C34" s="58"/>
      <c r="D34" s="58"/>
    </row>
    <row r="35" spans="3:4" ht="12" customHeight="1">
      <c r="C35" s="58"/>
      <c r="D35" s="58"/>
    </row>
    <row r="36" spans="2:4" ht="15">
      <c r="B36" s="56" t="s">
        <v>303</v>
      </c>
      <c r="C36" s="58"/>
      <c r="D36" s="58"/>
    </row>
    <row r="37" ht="15">
      <c r="B37" s="56" t="s">
        <v>304</v>
      </c>
    </row>
    <row r="38" ht="15">
      <c r="B38" s="56" t="s">
        <v>181</v>
      </c>
    </row>
    <row r="39" ht="15">
      <c r="B39" s="56" t="s">
        <v>305</v>
      </c>
    </row>
    <row r="40" ht="15">
      <c r="B40" s="56" t="s">
        <v>306</v>
      </c>
    </row>
    <row r="41" ht="12" customHeight="1"/>
    <row r="42" ht="15">
      <c r="B42" s="56" t="s">
        <v>307</v>
      </c>
    </row>
    <row r="43" ht="15">
      <c r="B43" s="56" t="s">
        <v>308</v>
      </c>
    </row>
    <row r="44" ht="15">
      <c r="B44" s="56" t="s">
        <v>309</v>
      </c>
    </row>
    <row r="45" ht="15">
      <c r="B45" s="56" t="s">
        <v>310</v>
      </c>
    </row>
    <row r="46" ht="15">
      <c r="B46" s="56" t="s">
        <v>311</v>
      </c>
    </row>
    <row r="47" ht="12.75" customHeight="1"/>
    <row r="48" ht="15">
      <c r="B48" s="56" t="s">
        <v>123</v>
      </c>
    </row>
    <row r="49" ht="6" customHeight="1"/>
    <row r="50" spans="2:10" ht="15">
      <c r="B50" s="120"/>
      <c r="C50" s="121"/>
      <c r="D50" s="179" t="s">
        <v>125</v>
      </c>
      <c r="E50" s="180"/>
      <c r="F50" s="180"/>
      <c r="G50" s="131"/>
      <c r="H50" s="132"/>
      <c r="I50" s="174" t="s">
        <v>130</v>
      </c>
      <c r="J50" s="175"/>
    </row>
    <row r="51" spans="2:10" ht="15">
      <c r="B51" s="126" t="s">
        <v>124</v>
      </c>
      <c r="C51" s="44"/>
      <c r="D51" s="127" t="s">
        <v>126</v>
      </c>
      <c r="E51" s="129" t="s">
        <v>127</v>
      </c>
      <c r="F51" s="44" t="s">
        <v>128</v>
      </c>
      <c r="G51" s="178" t="s">
        <v>129</v>
      </c>
      <c r="H51" s="177"/>
      <c r="I51" s="176" t="s">
        <v>2</v>
      </c>
      <c r="J51" s="177"/>
    </row>
    <row r="52" spans="2:10" ht="15">
      <c r="B52" s="123" t="s">
        <v>231</v>
      </c>
      <c r="C52" s="69"/>
      <c r="D52" s="133">
        <v>3.97</v>
      </c>
      <c r="E52" s="134">
        <v>3.99</v>
      </c>
      <c r="F52" s="135">
        <f>+J52/(H52/1000)</f>
        <v>3.993333333333333</v>
      </c>
      <c r="G52" s="158"/>
      <c r="H52" s="159">
        <f>200000+100000</f>
        <v>300000</v>
      </c>
      <c r="I52" s="160"/>
      <c r="J52" s="159">
        <f>797+401</f>
        <v>1198</v>
      </c>
    </row>
    <row r="53" spans="2:10" ht="15">
      <c r="B53" s="123" t="s">
        <v>263</v>
      </c>
      <c r="C53" s="69"/>
      <c r="D53" s="133">
        <v>4.06</v>
      </c>
      <c r="E53" s="134">
        <v>4.09</v>
      </c>
      <c r="F53" s="135">
        <f>+J53/(H53/1000)</f>
        <v>4.087692307692308</v>
      </c>
      <c r="G53" s="127"/>
      <c r="H53" s="125">
        <f>500000+500000+500000+300000+150000</f>
        <v>1950000</v>
      </c>
      <c r="I53" s="44"/>
      <c r="J53" s="125">
        <f>2036+2050+2039+1232+615-1</f>
        <v>7971</v>
      </c>
    </row>
    <row r="54" spans="2:10" ht="15">
      <c r="B54" s="139" t="s">
        <v>132</v>
      </c>
      <c r="C54" s="44"/>
      <c r="D54" s="136"/>
      <c r="E54" s="137"/>
      <c r="F54" s="138"/>
      <c r="G54" s="127"/>
      <c r="H54" s="125">
        <f>+H52+H53</f>
        <v>2250000</v>
      </c>
      <c r="I54" s="44"/>
      <c r="J54" s="125">
        <f>+J52+J53</f>
        <v>9169</v>
      </c>
    </row>
    <row r="55" spans="1:2" ht="15">
      <c r="A55" s="39"/>
      <c r="B55" s="39"/>
    </row>
    <row r="56" ht="7.5" customHeight="1">
      <c r="B56" s="39"/>
    </row>
    <row r="57" ht="12" customHeight="1">
      <c r="B57" s="39"/>
    </row>
    <row r="58" spans="1:2" ht="15">
      <c r="A58" s="56" t="s">
        <v>41</v>
      </c>
      <c r="B58" s="56" t="s">
        <v>312</v>
      </c>
    </row>
    <row r="59" ht="7.5" customHeight="1"/>
    <row r="60" spans="2:10" ht="15">
      <c r="B60" s="120"/>
      <c r="C60" s="121"/>
      <c r="D60" s="121"/>
      <c r="E60" s="121"/>
      <c r="F60" s="121"/>
      <c r="G60" s="131"/>
      <c r="H60" s="132"/>
      <c r="I60" s="174" t="s">
        <v>131</v>
      </c>
      <c r="J60" s="175"/>
    </row>
    <row r="61" spans="2:10" ht="15">
      <c r="B61" s="126"/>
      <c r="C61" s="44"/>
      <c r="D61" s="44"/>
      <c r="E61" s="44"/>
      <c r="F61" s="44"/>
      <c r="G61" s="178" t="s">
        <v>129</v>
      </c>
      <c r="H61" s="177"/>
      <c r="I61" s="176" t="s">
        <v>2</v>
      </c>
      <c r="J61" s="177"/>
    </row>
    <row r="62" spans="2:10" ht="15">
      <c r="B62" s="122" t="s">
        <v>230</v>
      </c>
      <c r="C62" s="69"/>
      <c r="D62" s="69"/>
      <c r="E62" s="69"/>
      <c r="F62" s="69"/>
      <c r="G62" s="128"/>
      <c r="H62" s="124">
        <v>34850000</v>
      </c>
      <c r="I62" s="69"/>
      <c r="J62" s="124">
        <v>206089</v>
      </c>
    </row>
    <row r="63" spans="2:10" ht="15">
      <c r="B63" s="122" t="s">
        <v>232</v>
      </c>
      <c r="C63" s="69"/>
      <c r="D63" s="69"/>
      <c r="E63" s="69"/>
      <c r="F63" s="69"/>
      <c r="G63" s="127"/>
      <c r="H63" s="125">
        <f>+H54</f>
        <v>2250000</v>
      </c>
      <c r="I63" s="44"/>
      <c r="J63" s="125">
        <f>+J54</f>
        <v>9169</v>
      </c>
    </row>
    <row r="64" spans="2:10" ht="15">
      <c r="B64" s="126" t="s">
        <v>313</v>
      </c>
      <c r="C64" s="44"/>
      <c r="D64" s="44"/>
      <c r="E64" s="44"/>
      <c r="F64" s="44"/>
      <c r="G64" s="127"/>
      <c r="H64" s="125">
        <f>+H62+H63</f>
        <v>37100000</v>
      </c>
      <c r="I64" s="44"/>
      <c r="J64" s="125">
        <f>+J62+J63</f>
        <v>215258</v>
      </c>
    </row>
    <row r="66" ht="15">
      <c r="B66" s="56" t="s">
        <v>314</v>
      </c>
    </row>
    <row r="67" ht="15">
      <c r="B67" s="56" t="s">
        <v>315</v>
      </c>
    </row>
    <row r="69" ht="15">
      <c r="B69" s="56" t="s">
        <v>316</v>
      </c>
    </row>
    <row r="70" ht="15">
      <c r="B70" s="56" t="s">
        <v>253</v>
      </c>
    </row>
    <row r="71" ht="15">
      <c r="I71" s="53" t="s">
        <v>254</v>
      </c>
    </row>
    <row r="72" spans="8:9" ht="15">
      <c r="H72" s="53" t="s">
        <v>245</v>
      </c>
      <c r="I72" s="53" t="s">
        <v>244</v>
      </c>
    </row>
    <row r="73" spans="8:10" ht="15">
      <c r="H73" s="53" t="s">
        <v>219</v>
      </c>
      <c r="I73" s="53" t="s">
        <v>219</v>
      </c>
      <c r="J73" s="53" t="s">
        <v>24</v>
      </c>
    </row>
    <row r="74" spans="8:10" ht="15">
      <c r="H74" s="53" t="s">
        <v>2</v>
      </c>
      <c r="I74" s="53" t="s">
        <v>2</v>
      </c>
      <c r="J74" s="53" t="s">
        <v>2</v>
      </c>
    </row>
    <row r="75" spans="3:10" ht="15">
      <c r="C75" s="56" t="s">
        <v>230</v>
      </c>
      <c r="H75" s="39">
        <v>240702</v>
      </c>
      <c r="I75" s="39">
        <f>268223-19257</f>
        <v>248966</v>
      </c>
      <c r="J75" s="39">
        <f>+H75+I75</f>
        <v>489668</v>
      </c>
    </row>
    <row r="76" spans="3:10" ht="15">
      <c r="C76" s="56" t="s">
        <v>246</v>
      </c>
      <c r="H76" s="44">
        <v>-62095</v>
      </c>
      <c r="I76" s="44">
        <f>-71961-1</f>
        <v>-71962</v>
      </c>
      <c r="J76" s="44">
        <f>+H76+I76</f>
        <v>-134057</v>
      </c>
    </row>
    <row r="77" spans="8:10" ht="15">
      <c r="H77" s="39">
        <f>+H75+H76</f>
        <v>178607</v>
      </c>
      <c r="I77" s="39">
        <f>+I75+I76</f>
        <v>177004</v>
      </c>
      <c r="J77" s="39">
        <f>+J75+J76</f>
        <v>355611</v>
      </c>
    </row>
    <row r="78" spans="3:10" ht="15">
      <c r="C78" s="56" t="s">
        <v>247</v>
      </c>
      <c r="H78" s="44">
        <v>-3884</v>
      </c>
      <c r="I78" s="44">
        <f>-4501+1</f>
        <v>-4500</v>
      </c>
      <c r="J78" s="44">
        <f>+H78+I78</f>
        <v>-8384</v>
      </c>
    </row>
    <row r="79" spans="3:10" ht="15.75" thickBot="1">
      <c r="C79" s="56" t="s">
        <v>320</v>
      </c>
      <c r="H79" s="84">
        <f>+H77+H78</f>
        <v>174723</v>
      </c>
      <c r="I79" s="84">
        <f>+I77+I78</f>
        <v>172504</v>
      </c>
      <c r="J79" s="84">
        <f>+J77+J78</f>
        <v>347227</v>
      </c>
    </row>
    <row r="80" ht="15.75" thickTop="1"/>
    <row r="81" ht="15">
      <c r="B81" s="56" t="s">
        <v>321</v>
      </c>
    </row>
    <row r="82" ht="15">
      <c r="J82" s="53" t="s">
        <v>2</v>
      </c>
    </row>
    <row r="83" spans="3:10" ht="15">
      <c r="C83" s="56" t="s">
        <v>322</v>
      </c>
      <c r="J83" s="140">
        <f>+J79</f>
        <v>347227</v>
      </c>
    </row>
    <row r="84" spans="3:10" ht="15">
      <c r="C84" s="56" t="s">
        <v>249</v>
      </c>
      <c r="J84" s="130">
        <v>19257</v>
      </c>
    </row>
    <row r="85" spans="3:10" ht="15">
      <c r="C85" s="56"/>
      <c r="J85" s="39">
        <f>+J83+J84</f>
        <v>366484</v>
      </c>
    </row>
    <row r="86" spans="3:10" ht="15">
      <c r="C86" s="56" t="s">
        <v>323</v>
      </c>
      <c r="J86" s="39">
        <f>8385+18113</f>
        <v>26498</v>
      </c>
    </row>
    <row r="87" spans="3:10" ht="15">
      <c r="C87" s="56" t="s">
        <v>248</v>
      </c>
      <c r="J87" s="39">
        <f>10734-1</f>
        <v>10733</v>
      </c>
    </row>
    <row r="88" spans="3:10" ht="15.75" thickBot="1">
      <c r="C88" s="56" t="s">
        <v>324</v>
      </c>
      <c r="J88" s="84">
        <f>SUM(J85:J87)</f>
        <v>403715</v>
      </c>
    </row>
    <row r="89" ht="15.75" thickTop="1">
      <c r="J89" s="69"/>
    </row>
    <row r="90" spans="1:4" ht="15">
      <c r="A90" s="56" t="s">
        <v>42</v>
      </c>
      <c r="B90" s="56" t="s">
        <v>373</v>
      </c>
      <c r="C90" s="56"/>
      <c r="D90" s="56"/>
    </row>
    <row r="91" spans="1:3" ht="15">
      <c r="A91" s="57"/>
      <c r="B91" s="56" t="s">
        <v>71</v>
      </c>
      <c r="C91" s="56" t="s">
        <v>325</v>
      </c>
    </row>
    <row r="92" spans="1:5" ht="15">
      <c r="A92" s="57"/>
      <c r="C92" s="56" t="s">
        <v>326</v>
      </c>
      <c r="D92" s="56"/>
      <c r="E92" s="56"/>
    </row>
    <row r="93" spans="1:5" ht="15">
      <c r="A93" s="57"/>
      <c r="C93" s="56" t="s">
        <v>327</v>
      </c>
      <c r="D93" s="56"/>
      <c r="E93" s="56"/>
    </row>
    <row r="94" spans="1:4" ht="12" customHeight="1">
      <c r="A94" s="57"/>
      <c r="C94" s="56"/>
      <c r="D94" s="56"/>
    </row>
    <row r="95" spans="1:4" ht="15">
      <c r="A95" s="57"/>
      <c r="B95" s="56" t="s">
        <v>72</v>
      </c>
      <c r="C95" s="56" t="s">
        <v>328</v>
      </c>
      <c r="D95" s="56"/>
    </row>
    <row r="96" spans="1:4" ht="15">
      <c r="A96" s="57"/>
      <c r="C96" s="56" t="s">
        <v>334</v>
      </c>
      <c r="D96" s="56"/>
    </row>
    <row r="97" spans="1:4" ht="15">
      <c r="A97" s="57"/>
      <c r="C97" s="56" t="s">
        <v>335</v>
      </c>
      <c r="D97" s="56"/>
    </row>
    <row r="98" spans="1:4" ht="12" customHeight="1">
      <c r="A98" s="57"/>
      <c r="C98" s="56"/>
      <c r="D98" s="56"/>
    </row>
    <row r="99" spans="1:4" ht="15">
      <c r="A99" s="57"/>
      <c r="B99" s="56" t="s">
        <v>329</v>
      </c>
      <c r="C99" s="56"/>
      <c r="D99" s="56"/>
    </row>
    <row r="100" spans="1:4" ht="15">
      <c r="A100" s="57"/>
      <c r="B100" s="56" t="s">
        <v>375</v>
      </c>
      <c r="C100" s="56"/>
      <c r="D100" s="56"/>
    </row>
    <row r="101" spans="1:4" ht="15">
      <c r="A101" s="57"/>
      <c r="B101" s="56" t="s">
        <v>374</v>
      </c>
      <c r="C101" s="56"/>
      <c r="D101" s="56"/>
    </row>
    <row r="102" spans="1:4" ht="15">
      <c r="A102" s="57"/>
      <c r="C102" s="56"/>
      <c r="D102" s="56"/>
    </row>
    <row r="103" spans="1:4" ht="12" customHeight="1">
      <c r="A103" s="57"/>
      <c r="C103" s="56"/>
      <c r="D103" s="56"/>
    </row>
    <row r="104" spans="1:4" ht="12" customHeight="1">
      <c r="A104" s="57"/>
      <c r="C104" s="56"/>
      <c r="D104" s="56"/>
    </row>
    <row r="105" spans="1:4" ht="12" customHeight="1">
      <c r="A105" s="57"/>
      <c r="C105" s="56"/>
      <c r="D105" s="56"/>
    </row>
    <row r="106" spans="1:4" ht="12" customHeight="1">
      <c r="A106" s="57"/>
      <c r="C106" s="56"/>
      <c r="D106" s="56"/>
    </row>
    <row r="107" spans="1:4" ht="12" customHeight="1">
      <c r="A107" s="57"/>
      <c r="C107" s="56"/>
      <c r="D107" s="56"/>
    </row>
    <row r="108" spans="1:4" ht="12" customHeight="1">
      <c r="A108" s="57"/>
      <c r="C108" s="56"/>
      <c r="D108" s="56"/>
    </row>
    <row r="109" spans="1:4" ht="12" customHeight="1">
      <c r="A109" s="57"/>
      <c r="C109" s="56"/>
      <c r="D109" s="56"/>
    </row>
    <row r="110" spans="1:4" ht="12" customHeight="1">
      <c r="A110" s="57"/>
      <c r="C110" s="56"/>
      <c r="D110" s="56"/>
    </row>
    <row r="111" spans="1:4" ht="15">
      <c r="A111" s="56" t="s">
        <v>43</v>
      </c>
      <c r="B111" s="56" t="s">
        <v>317</v>
      </c>
      <c r="C111" s="56"/>
      <c r="D111" s="56"/>
    </row>
    <row r="112" spans="2:4" ht="4.5" customHeight="1">
      <c r="B112" s="58"/>
      <c r="C112" s="58"/>
      <c r="D112" s="58"/>
    </row>
    <row r="113" spans="2:18" ht="14.25" customHeight="1">
      <c r="B113" s="115" t="s">
        <v>3</v>
      </c>
      <c r="C113" s="56"/>
      <c r="F113" s="75"/>
      <c r="G113" s="75"/>
      <c r="H113" s="76"/>
      <c r="I113" s="96" t="s">
        <v>74</v>
      </c>
      <c r="J113" s="75" t="s">
        <v>75</v>
      </c>
      <c r="K113" s="75" t="s">
        <v>24</v>
      </c>
      <c r="L113" s="64"/>
      <c r="M113" s="64"/>
      <c r="N113" s="64"/>
      <c r="O113" s="64"/>
      <c r="P113" s="64"/>
      <c r="Q113" s="64"/>
      <c r="R113" s="64"/>
    </row>
    <row r="114" spans="3:18" ht="14.25" customHeight="1">
      <c r="C114" s="56"/>
      <c r="F114" s="75"/>
      <c r="G114" s="75"/>
      <c r="H114" s="76"/>
      <c r="I114" s="96"/>
      <c r="J114" s="75" t="s">
        <v>76</v>
      </c>
      <c r="K114" s="75"/>
      <c r="L114" s="64"/>
      <c r="M114" s="64"/>
      <c r="N114" s="64"/>
      <c r="O114" s="64"/>
      <c r="P114" s="64"/>
      <c r="Q114" s="64"/>
      <c r="R114" s="64"/>
    </row>
    <row r="115" spans="2:18" ht="15">
      <c r="B115" s="39"/>
      <c r="C115" s="56"/>
      <c r="D115" s="56"/>
      <c r="I115" s="39" t="s">
        <v>2</v>
      </c>
      <c r="J115" s="39" t="s">
        <v>2</v>
      </c>
      <c r="K115" s="39" t="s">
        <v>2</v>
      </c>
      <c r="N115" s="53"/>
      <c r="Q115" s="53"/>
      <c r="R115" s="53"/>
    </row>
    <row r="116" spans="2:18" ht="15">
      <c r="B116" s="56" t="s">
        <v>164</v>
      </c>
      <c r="C116" s="56"/>
      <c r="D116" s="56"/>
      <c r="I116" s="69">
        <v>1821726</v>
      </c>
      <c r="J116" s="69">
        <v>0</v>
      </c>
      <c r="K116" s="69">
        <f>SUM(I116:J116)</f>
        <v>1821726</v>
      </c>
      <c r="N116" s="53"/>
      <c r="Q116" s="53"/>
      <c r="R116" s="53"/>
    </row>
    <row r="117" spans="2:18" ht="15">
      <c r="B117" s="56" t="s">
        <v>168</v>
      </c>
      <c r="C117" s="56"/>
      <c r="D117" s="56"/>
      <c r="E117" s="65"/>
      <c r="F117" s="65"/>
      <c r="G117" s="65"/>
      <c r="H117" s="65"/>
      <c r="I117" s="69">
        <f>1002+23541-4575</f>
        <v>19968</v>
      </c>
      <c r="J117" s="69">
        <v>4575</v>
      </c>
      <c r="K117" s="69">
        <f>SUM(I117:J117)</f>
        <v>24543</v>
      </c>
      <c r="N117" s="53"/>
      <c r="Q117" s="53"/>
      <c r="R117" s="53"/>
    </row>
    <row r="118" spans="2:18" ht="15">
      <c r="B118" s="56" t="s">
        <v>169</v>
      </c>
      <c r="C118" s="56"/>
      <c r="D118" s="56"/>
      <c r="E118" s="65"/>
      <c r="F118" s="65"/>
      <c r="G118" s="65"/>
      <c r="H118" s="65"/>
      <c r="I118" s="69">
        <v>0</v>
      </c>
      <c r="J118" s="69">
        <f>-J117</f>
        <v>-4575</v>
      </c>
      <c r="K118" s="69">
        <f>SUM(I118:J118)</f>
        <v>-4575</v>
      </c>
      <c r="N118" s="53"/>
      <c r="Q118" s="53"/>
      <c r="R118" s="53"/>
    </row>
    <row r="119" spans="2:18" ht="15.75" thickBot="1">
      <c r="B119" s="66" t="s">
        <v>36</v>
      </c>
      <c r="C119" s="66"/>
      <c r="D119" s="66"/>
      <c r="F119" s="69"/>
      <c r="G119" s="69"/>
      <c r="H119" s="69"/>
      <c r="I119" s="84">
        <f>SUM(I116:I118)</f>
        <v>1841694</v>
      </c>
      <c r="J119" s="84">
        <f>SUM(J116:J118)</f>
        <v>0</v>
      </c>
      <c r="K119" s="84">
        <f>SUM(K116:K118)</f>
        <v>1841694</v>
      </c>
      <c r="N119" s="53"/>
      <c r="Q119" s="53"/>
      <c r="R119" s="53"/>
    </row>
    <row r="120" spans="3:18" ht="5.25" customHeight="1" thickTop="1">
      <c r="C120" s="56"/>
      <c r="D120" s="56"/>
      <c r="F120" s="69"/>
      <c r="G120" s="69"/>
      <c r="H120" s="69"/>
      <c r="I120" s="69"/>
      <c r="J120" s="69"/>
      <c r="N120" s="53"/>
      <c r="Q120" s="68"/>
      <c r="R120" s="68"/>
    </row>
    <row r="121" spans="2:4" ht="15">
      <c r="B121" s="115" t="s">
        <v>106</v>
      </c>
      <c r="C121" s="56"/>
      <c r="D121" s="56"/>
    </row>
    <row r="122" spans="2:18" ht="15">
      <c r="B122" s="56" t="s">
        <v>164</v>
      </c>
      <c r="C122" s="56"/>
      <c r="D122" s="56"/>
      <c r="I122"/>
      <c r="J122"/>
      <c r="K122" s="69">
        <f>316431-225</f>
        <v>316206</v>
      </c>
      <c r="N122" s="53"/>
      <c r="Q122" s="53"/>
      <c r="R122" s="53"/>
    </row>
    <row r="123" spans="2:18" ht="15">
      <c r="B123" s="56" t="s">
        <v>168</v>
      </c>
      <c r="C123" s="56"/>
      <c r="D123" s="56"/>
      <c r="I123"/>
      <c r="J123"/>
      <c r="K123" s="44">
        <f>126-8819-1010-11-553-540+509</f>
        <v>-10298</v>
      </c>
      <c r="N123" s="53"/>
      <c r="Q123" s="53"/>
      <c r="R123" s="53"/>
    </row>
    <row r="124" spans="3:18" ht="15">
      <c r="C124" s="56"/>
      <c r="D124" s="56"/>
      <c r="I124" s="165"/>
      <c r="J124" s="165"/>
      <c r="K124" s="69">
        <f>SUM(K122:K123)</f>
        <v>305908</v>
      </c>
      <c r="N124" s="53"/>
      <c r="Q124" s="53"/>
      <c r="R124" s="53"/>
    </row>
    <row r="125" spans="2:18" ht="15">
      <c r="B125" s="56" t="s">
        <v>66</v>
      </c>
      <c r="C125" s="56"/>
      <c r="D125" s="56"/>
      <c r="F125" s="69"/>
      <c r="G125" s="69"/>
      <c r="H125" s="69"/>
      <c r="I125" s="69"/>
      <c r="J125" s="69"/>
      <c r="K125" s="44">
        <f>-1525-301</f>
        <v>-1826</v>
      </c>
      <c r="N125" s="53"/>
      <c r="Q125" s="53"/>
      <c r="R125" s="53"/>
    </row>
    <row r="126" spans="2:18" ht="15">
      <c r="B126" s="66" t="s">
        <v>165</v>
      </c>
      <c r="C126" s="66"/>
      <c r="D126" s="66"/>
      <c r="F126" s="87"/>
      <c r="G126" s="87"/>
      <c r="H126" s="87"/>
      <c r="I126" s="87"/>
      <c r="J126" s="87"/>
      <c r="K126" s="87">
        <f>+K124+K125</f>
        <v>304082</v>
      </c>
      <c r="N126" s="53"/>
      <c r="Q126" s="53"/>
      <c r="R126" s="53"/>
    </row>
    <row r="127" spans="2:18" ht="15">
      <c r="B127" s="56" t="s">
        <v>5</v>
      </c>
      <c r="C127" s="56"/>
      <c r="D127" s="56"/>
      <c r="F127" s="69"/>
      <c r="G127" s="69"/>
      <c r="H127" s="69"/>
      <c r="I127" s="69"/>
      <c r="J127" s="69"/>
      <c r="K127" s="69">
        <v>-15881</v>
      </c>
      <c r="N127" s="70"/>
      <c r="Q127" s="68"/>
      <c r="R127" s="68"/>
    </row>
    <row r="128" spans="2:18" ht="15">
      <c r="B128" s="56" t="s">
        <v>31</v>
      </c>
      <c r="C128" s="56"/>
      <c r="D128" s="56"/>
      <c r="F128" s="69"/>
      <c r="G128" s="69"/>
      <c r="H128" s="69"/>
      <c r="I128" s="69"/>
      <c r="J128" s="69"/>
      <c r="K128" s="44">
        <v>48384</v>
      </c>
      <c r="N128" s="53"/>
      <c r="Q128" s="53"/>
      <c r="R128" s="53"/>
    </row>
    <row r="129" spans="2:18" ht="15">
      <c r="B129" s="56" t="s">
        <v>102</v>
      </c>
      <c r="C129" s="56"/>
      <c r="D129" s="56"/>
      <c r="F129" s="69"/>
      <c r="G129" s="69"/>
      <c r="H129" s="69"/>
      <c r="I129" s="69"/>
      <c r="J129" s="69"/>
      <c r="K129" s="39">
        <f>SUM(K126:K128)</f>
        <v>336585</v>
      </c>
      <c r="N129" s="53"/>
      <c r="Q129" s="53"/>
      <c r="R129" s="53"/>
    </row>
    <row r="130" spans="2:18" ht="15">
      <c r="B130" s="56" t="s">
        <v>32</v>
      </c>
      <c r="C130" s="56"/>
      <c r="D130" s="56"/>
      <c r="F130" s="69"/>
      <c r="G130" s="69"/>
      <c r="H130" s="69"/>
      <c r="I130" s="69"/>
      <c r="J130" s="69"/>
      <c r="K130" s="44">
        <v>-101990</v>
      </c>
      <c r="N130" s="53"/>
      <c r="Q130" s="53"/>
      <c r="R130" s="53"/>
    </row>
    <row r="131" spans="2:18" ht="15.75" thickBot="1">
      <c r="B131" s="56" t="s">
        <v>174</v>
      </c>
      <c r="C131" s="56"/>
      <c r="D131" s="56"/>
      <c r="F131" s="69"/>
      <c r="G131" s="69"/>
      <c r="H131" s="69"/>
      <c r="I131" s="69"/>
      <c r="J131" s="69"/>
      <c r="K131" s="67">
        <f>+K129+K130</f>
        <v>234595</v>
      </c>
      <c r="N131" s="70"/>
      <c r="Q131" s="68"/>
      <c r="R131" s="68"/>
    </row>
    <row r="132" spans="2:18" ht="9.75" customHeight="1">
      <c r="B132" s="99"/>
      <c r="J132" s="69"/>
      <c r="N132" s="53"/>
      <c r="Q132" s="53"/>
      <c r="R132" s="53"/>
    </row>
    <row r="133" spans="1:4" ht="15">
      <c r="A133" s="56" t="s">
        <v>44</v>
      </c>
      <c r="B133" s="56" t="s">
        <v>175</v>
      </c>
      <c r="C133" s="56"/>
      <c r="D133" s="56"/>
    </row>
    <row r="134" spans="1:4" ht="15">
      <c r="A134" s="57"/>
      <c r="B134" s="56" t="s">
        <v>228</v>
      </c>
      <c r="C134" s="56"/>
      <c r="D134" s="56"/>
    </row>
    <row r="135" spans="2:4" ht="12.75" customHeight="1">
      <c r="B135" s="39"/>
      <c r="D135" s="56"/>
    </row>
    <row r="136" spans="1:4" ht="15">
      <c r="A136" s="56" t="s">
        <v>45</v>
      </c>
      <c r="B136" s="56" t="s">
        <v>318</v>
      </c>
      <c r="C136" s="56"/>
      <c r="D136" s="56"/>
    </row>
    <row r="137" spans="2:4" ht="15">
      <c r="B137" s="56" t="s">
        <v>99</v>
      </c>
      <c r="C137" s="58"/>
      <c r="D137" s="58"/>
    </row>
    <row r="138" ht="11.25" customHeight="1">
      <c r="B138" s="39"/>
    </row>
    <row r="139" spans="1:4" ht="15">
      <c r="A139" s="56" t="s">
        <v>46</v>
      </c>
      <c r="B139" s="56" t="s">
        <v>283</v>
      </c>
      <c r="C139" s="56"/>
      <c r="D139" s="56"/>
    </row>
    <row r="140" spans="2:4" ht="15">
      <c r="B140" s="56" t="s">
        <v>319</v>
      </c>
      <c r="C140" s="58"/>
      <c r="D140" s="58"/>
    </row>
    <row r="141" ht="15">
      <c r="B141" s="56" t="s">
        <v>287</v>
      </c>
    </row>
    <row r="142" spans="1:4" ht="15">
      <c r="A142" s="57"/>
      <c r="B142" s="56" t="s">
        <v>282</v>
      </c>
      <c r="C142" s="56"/>
      <c r="D142" s="56"/>
    </row>
    <row r="143" spans="1:4" ht="15">
      <c r="A143" s="57"/>
      <c r="B143" s="56" t="s">
        <v>284</v>
      </c>
      <c r="C143" s="56"/>
      <c r="D143" s="56"/>
    </row>
    <row r="144" spans="1:4" ht="15">
      <c r="A144" s="57"/>
      <c r="B144" s="56" t="s">
        <v>285</v>
      </c>
      <c r="C144" s="56"/>
      <c r="D144" s="56"/>
    </row>
    <row r="145" spans="1:4" ht="15">
      <c r="A145" s="57"/>
      <c r="B145" s="56" t="s">
        <v>398</v>
      </c>
      <c r="C145" s="56"/>
      <c r="D145" s="56"/>
    </row>
    <row r="146" spans="1:4" ht="12" customHeight="1">
      <c r="A146" s="57"/>
      <c r="C146" s="56"/>
      <c r="D146" s="56"/>
    </row>
    <row r="147" spans="1:4" ht="15">
      <c r="A147" s="56" t="s">
        <v>47</v>
      </c>
      <c r="B147" s="56" t="s">
        <v>229</v>
      </c>
      <c r="C147" s="56"/>
      <c r="D147" s="56"/>
    </row>
    <row r="148" spans="2:4" ht="15">
      <c r="B148" s="56" t="s">
        <v>133</v>
      </c>
      <c r="C148" s="56"/>
      <c r="D148" s="56"/>
    </row>
    <row r="149" spans="3:4" ht="3.75" customHeight="1">
      <c r="C149" s="56"/>
      <c r="D149" s="56"/>
    </row>
    <row r="150" spans="2:11" ht="15">
      <c r="B150" s="115" t="s">
        <v>135</v>
      </c>
      <c r="C150" s="56"/>
      <c r="E150" s="56"/>
      <c r="J150" s="53" t="s">
        <v>134</v>
      </c>
      <c r="K150" s="53" t="s">
        <v>2</v>
      </c>
    </row>
    <row r="151" spans="2:5" ht="15">
      <c r="B151" s="56" t="s">
        <v>332</v>
      </c>
      <c r="E151" s="56"/>
    </row>
    <row r="152" spans="2:4" ht="15">
      <c r="B152" s="56" t="s">
        <v>336</v>
      </c>
      <c r="D152" s="56"/>
    </row>
    <row r="153" spans="1:11" ht="15">
      <c r="A153" s="57"/>
      <c r="B153" s="39"/>
      <c r="C153" s="56" t="s">
        <v>330</v>
      </c>
      <c r="D153" s="56"/>
      <c r="J153" s="140">
        <v>21333</v>
      </c>
      <c r="K153" s="140">
        <f>+J153*3.8</f>
        <v>81065.4</v>
      </c>
    </row>
    <row r="154" spans="1:11" ht="15">
      <c r="A154" s="57"/>
      <c r="B154" s="39"/>
      <c r="C154" s="56" t="s">
        <v>331</v>
      </c>
      <c r="D154" s="56"/>
      <c r="J154" s="130">
        <v>-3333</v>
      </c>
      <c r="K154" s="130">
        <f>+J154*3.8</f>
        <v>-12665.4</v>
      </c>
    </row>
    <row r="155" spans="1:11" ht="15">
      <c r="A155" s="57"/>
      <c r="B155" s="39"/>
      <c r="C155" s="56" t="s">
        <v>320</v>
      </c>
      <c r="D155" s="56"/>
      <c r="J155" s="69">
        <f>+J153+J154</f>
        <v>18000</v>
      </c>
      <c r="K155" s="69">
        <f>+K153+K154</f>
        <v>68400</v>
      </c>
    </row>
    <row r="156" spans="1:4" ht="4.5" customHeight="1">
      <c r="A156" s="57"/>
      <c r="B156" s="39"/>
      <c r="D156" s="56"/>
    </row>
    <row r="157" spans="1:4" ht="15">
      <c r="A157" s="57"/>
      <c r="B157" s="93" t="s">
        <v>333</v>
      </c>
      <c r="D157" s="56"/>
    </row>
    <row r="158" spans="1:11" ht="15">
      <c r="A158" s="57"/>
      <c r="B158" s="39"/>
      <c r="C158" s="39" t="s">
        <v>230</v>
      </c>
      <c r="D158" s="56"/>
      <c r="J158" s="140">
        <v>1488</v>
      </c>
      <c r="K158" s="140">
        <f>ROUND(+J158*3.8,0)</f>
        <v>5654</v>
      </c>
    </row>
    <row r="159" spans="1:11" ht="15">
      <c r="A159" s="57"/>
      <c r="B159" s="39"/>
      <c r="C159" s="39" t="s">
        <v>136</v>
      </c>
      <c r="D159" s="56"/>
      <c r="J159" s="130">
        <v>-474</v>
      </c>
      <c r="K159" s="130">
        <f>ROUND(+J159*3.8,0)</f>
        <v>-1801</v>
      </c>
    </row>
    <row r="160" spans="1:11" ht="15">
      <c r="A160" s="57"/>
      <c r="B160" s="39"/>
      <c r="C160" s="39" t="s">
        <v>320</v>
      </c>
      <c r="D160" s="56"/>
      <c r="J160" s="39">
        <f>+J158+J159</f>
        <v>1014</v>
      </c>
      <c r="K160" s="39">
        <f>+K158+K159</f>
        <v>3853</v>
      </c>
    </row>
    <row r="161" spans="1:11" ht="15.75" thickBot="1">
      <c r="A161" s="57"/>
      <c r="B161" s="39" t="s">
        <v>24</v>
      </c>
      <c r="D161" s="56"/>
      <c r="J161" s="84">
        <f>+J160+J155</f>
        <v>19014</v>
      </c>
      <c r="K161" s="84">
        <f>+K160+K155</f>
        <v>72253</v>
      </c>
    </row>
    <row r="162" spans="1:4" ht="6" customHeight="1" thickTop="1">
      <c r="A162" s="57"/>
      <c r="B162" s="39"/>
      <c r="D162" s="56"/>
    </row>
    <row r="163" spans="1:4" ht="15">
      <c r="A163" s="57"/>
      <c r="B163" s="39" t="s">
        <v>137</v>
      </c>
      <c r="D163" s="56"/>
    </row>
    <row r="165" spans="2:4" ht="15">
      <c r="B165" s="39"/>
      <c r="C165" s="56"/>
      <c r="D165" s="56"/>
    </row>
    <row r="166" spans="2:4" ht="15">
      <c r="B166" s="58"/>
      <c r="C166" s="71"/>
      <c r="D166" s="71"/>
    </row>
    <row r="167" spans="2:4" ht="15">
      <c r="B167" s="55"/>
      <c r="C167" s="55"/>
      <c r="D167" s="55"/>
    </row>
    <row r="172" spans="3:4" ht="15">
      <c r="C172" s="56"/>
      <c r="D172" s="56"/>
    </row>
    <row r="173" spans="3:4" ht="15">
      <c r="C173" s="56"/>
      <c r="D173" s="56"/>
    </row>
    <row r="174" spans="3:4" ht="15">
      <c r="C174" s="56"/>
      <c r="D174" s="56"/>
    </row>
    <row r="175" spans="3:4" ht="15">
      <c r="C175" s="56"/>
      <c r="D175" s="56"/>
    </row>
    <row r="176" spans="3:4" ht="15">
      <c r="C176" s="56"/>
      <c r="D176" s="56"/>
    </row>
    <row r="182" spans="3:19" ht="15">
      <c r="C182" s="56"/>
      <c r="D182" s="56"/>
      <c r="S182" s="53"/>
    </row>
    <row r="183" spans="3:14" ht="15">
      <c r="C183" s="56"/>
      <c r="D183" s="56"/>
      <c r="N183" s="53"/>
    </row>
    <row r="184" spans="3:19" ht="15">
      <c r="C184" s="56"/>
      <c r="D184" s="56"/>
      <c r="O184" s="53"/>
      <c r="S184" s="53"/>
    </row>
    <row r="186" spans="3:19" ht="15">
      <c r="C186" s="56"/>
      <c r="D186" s="56"/>
      <c r="S186" s="53"/>
    </row>
    <row r="189" spans="3:4" ht="15">
      <c r="C189" s="56"/>
      <c r="D189" s="56"/>
    </row>
    <row r="190" spans="3:12" ht="15">
      <c r="C190" s="56"/>
      <c r="D190" s="56"/>
      <c r="L190" s="53"/>
    </row>
    <row r="193" spans="3:4" ht="15">
      <c r="C193" s="56"/>
      <c r="D193" s="56"/>
    </row>
  </sheetData>
  <mergeCells count="7">
    <mergeCell ref="I60:J60"/>
    <mergeCell ref="I61:J61"/>
    <mergeCell ref="G61:H61"/>
    <mergeCell ref="D50:F50"/>
    <mergeCell ref="G51:H51"/>
    <mergeCell ref="I51:J51"/>
    <mergeCell ref="I50:J50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31-1-2004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2"/>
  <sheetViews>
    <sheetView showGridLines="0" tabSelected="1" workbookViewId="0" topLeftCell="A114">
      <selection activeCell="A126" sqref="A126"/>
    </sheetView>
  </sheetViews>
  <sheetFormatPr defaultColWidth="9.140625" defaultRowHeight="12.75"/>
  <cols>
    <col min="1" max="1" width="4.421875" style="2" customWidth="1"/>
    <col min="2" max="2" width="3.7109375" style="2" customWidth="1"/>
    <col min="3" max="3" width="7.8515625" style="2" customWidth="1"/>
    <col min="4" max="5" width="9.140625" style="2" customWidth="1"/>
    <col min="6" max="6" width="12.28125" style="2" customWidth="1"/>
    <col min="7" max="7" width="10.8515625" style="2" customWidth="1"/>
    <col min="8" max="8" width="10.140625" style="72" customWidth="1"/>
    <col min="9" max="9" width="10.28125" style="72" customWidth="1"/>
    <col min="10" max="10" width="9.28125" style="72" customWidth="1"/>
    <col min="11" max="11" width="7.140625" style="2" customWidth="1"/>
    <col min="12" max="12" width="7.8515625" style="2" customWidth="1"/>
    <col min="13" max="13" width="6.2812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5"/>
      <c r="C1" s="55"/>
      <c r="D1" s="55"/>
      <c r="E1" s="39"/>
      <c r="F1" s="39"/>
      <c r="G1" s="39"/>
      <c r="H1" s="77"/>
      <c r="I1" s="77"/>
    </row>
    <row r="2" spans="2:9" ht="15">
      <c r="B2" s="55"/>
      <c r="C2" s="55"/>
      <c r="D2" s="55"/>
      <c r="E2" s="39"/>
      <c r="F2" s="39"/>
      <c r="G2" s="39"/>
      <c r="H2" s="77"/>
      <c r="I2" s="77"/>
    </row>
    <row r="3" spans="2:9" ht="3" customHeight="1">
      <c r="B3" s="55"/>
      <c r="C3" s="55"/>
      <c r="D3" s="55"/>
      <c r="E3" s="39"/>
      <c r="F3" s="39"/>
      <c r="G3" s="39"/>
      <c r="H3" s="77"/>
      <c r="I3" s="77"/>
    </row>
    <row r="4" spans="1:9" ht="15">
      <c r="A4" s="5" t="str">
        <f>PL!A5</f>
        <v>UNAUDITED INTERIM FINANCIAL REPORT FOR THE PERIOD ENDED 31 JANUARY 2004</v>
      </c>
      <c r="B4" s="55"/>
      <c r="C4" s="55"/>
      <c r="D4" s="55"/>
      <c r="E4" s="39"/>
      <c r="F4" s="39"/>
      <c r="G4" s="39"/>
      <c r="H4" s="77"/>
      <c r="I4" s="77"/>
    </row>
    <row r="5" spans="1:9" ht="15">
      <c r="A5" s="54" t="s">
        <v>345</v>
      </c>
      <c r="B5" s="55"/>
      <c r="C5" s="55"/>
      <c r="D5" s="55"/>
      <c r="E5" s="39"/>
      <c r="F5" s="39"/>
      <c r="G5" s="39"/>
      <c r="H5" s="77"/>
      <c r="I5" s="77"/>
    </row>
    <row r="6" spans="1:9" ht="15">
      <c r="A6" s="56"/>
      <c r="B6" s="56"/>
      <c r="C6" s="56"/>
      <c r="D6" s="56"/>
      <c r="E6" s="39"/>
      <c r="F6" s="39"/>
      <c r="G6" s="39"/>
      <c r="H6" s="77"/>
      <c r="I6" s="77"/>
    </row>
    <row r="7" spans="1:9" ht="15">
      <c r="A7" s="56" t="s">
        <v>50</v>
      </c>
      <c r="B7" s="56" t="s">
        <v>379</v>
      </c>
      <c r="C7" s="56"/>
      <c r="D7" s="56"/>
      <c r="E7" s="39"/>
      <c r="F7" s="39"/>
      <c r="G7" s="39"/>
      <c r="H7" s="77"/>
      <c r="I7" s="77"/>
    </row>
    <row r="8" spans="1:10" ht="15">
      <c r="A8" s="56"/>
      <c r="B8" s="2" t="s">
        <v>380</v>
      </c>
      <c r="F8" s="39"/>
      <c r="G8" s="39"/>
      <c r="H8"/>
      <c r="I8"/>
      <c r="J8" s="80"/>
    </row>
    <row r="9" spans="1:10" ht="15">
      <c r="A9" s="56"/>
      <c r="F9" s="39"/>
      <c r="G9" s="39"/>
      <c r="H9"/>
      <c r="I9"/>
      <c r="J9" s="80"/>
    </row>
    <row r="10" spans="1:10" ht="15">
      <c r="A10" s="56"/>
      <c r="B10" s="2" t="s">
        <v>352</v>
      </c>
      <c r="F10" s="39"/>
      <c r="G10" s="39"/>
      <c r="H10"/>
      <c r="I10"/>
      <c r="J10" s="80"/>
    </row>
    <row r="11" spans="1:9" ht="15">
      <c r="A11" s="56"/>
      <c r="B11" s="2" t="s">
        <v>353</v>
      </c>
      <c r="C11" s="58"/>
      <c r="D11" s="58"/>
      <c r="E11" s="39"/>
      <c r="F11" s="39"/>
      <c r="G11" s="39"/>
      <c r="H11" s="79"/>
      <c r="I11" s="79"/>
    </row>
    <row r="12" spans="1:9" ht="15">
      <c r="A12" s="56"/>
      <c r="B12" s="2" t="s">
        <v>354</v>
      </c>
      <c r="G12" s="39"/>
      <c r="H12" s="79"/>
      <c r="I12" s="79"/>
    </row>
    <row r="13" spans="1:9" ht="15">
      <c r="A13" s="56"/>
      <c r="B13" s="2" t="s">
        <v>399</v>
      </c>
      <c r="G13" s="39"/>
      <c r="H13" s="79"/>
      <c r="I13" s="79"/>
    </row>
    <row r="14" spans="1:9" ht="15">
      <c r="A14" s="56"/>
      <c r="B14" s="2" t="s">
        <v>358</v>
      </c>
      <c r="G14" s="39"/>
      <c r="H14" s="79"/>
      <c r="I14" s="79"/>
    </row>
    <row r="15" spans="1:9" ht="15">
      <c r="A15" s="56"/>
      <c r="B15" s="2" t="s">
        <v>355</v>
      </c>
      <c r="G15" s="39"/>
      <c r="H15" s="79"/>
      <c r="I15" s="79"/>
    </row>
    <row r="16" spans="1:9" ht="15">
      <c r="A16" s="56"/>
      <c r="B16" s="2" t="s">
        <v>356</v>
      </c>
      <c r="G16" s="39"/>
      <c r="H16" s="79"/>
      <c r="I16" s="79"/>
    </row>
    <row r="17" spans="1:9" ht="15">
      <c r="A17" s="56"/>
      <c r="B17" s="2" t="s">
        <v>357</v>
      </c>
      <c r="G17" s="39"/>
      <c r="H17" s="79"/>
      <c r="I17" s="79"/>
    </row>
    <row r="18" spans="1:9" ht="15">
      <c r="A18" s="56"/>
      <c r="G18" s="39"/>
      <c r="H18" s="79"/>
      <c r="I18" s="79"/>
    </row>
    <row r="19" spans="1:9" ht="15">
      <c r="A19" s="56"/>
      <c r="B19" s="2" t="s">
        <v>359</v>
      </c>
      <c r="G19" s="39"/>
      <c r="H19" s="79"/>
      <c r="I19" s="79"/>
    </row>
    <row r="20" spans="1:9" ht="15">
      <c r="A20" s="56"/>
      <c r="B20" s="2" t="s">
        <v>381</v>
      </c>
      <c r="G20" s="39"/>
      <c r="H20" s="79"/>
      <c r="I20" s="79"/>
    </row>
    <row r="21" spans="1:9" ht="15">
      <c r="A21" s="56"/>
      <c r="B21" s="56"/>
      <c r="G21" s="39"/>
      <c r="H21" s="79"/>
      <c r="I21" s="79"/>
    </row>
    <row r="22" spans="1:9" ht="15">
      <c r="A22" s="56"/>
      <c r="B22" s="56" t="s">
        <v>360</v>
      </c>
      <c r="G22" s="39"/>
      <c r="H22" s="79"/>
      <c r="I22" s="79"/>
    </row>
    <row r="23" spans="1:9" ht="15">
      <c r="A23" s="56"/>
      <c r="B23" s="56" t="s">
        <v>361</v>
      </c>
      <c r="G23" s="39"/>
      <c r="H23" s="79"/>
      <c r="I23" s="79"/>
    </row>
    <row r="24" spans="1:9" ht="15">
      <c r="A24" s="56"/>
      <c r="B24" s="56" t="s">
        <v>362</v>
      </c>
      <c r="G24" s="39"/>
      <c r="H24" s="79"/>
      <c r="I24" s="79"/>
    </row>
    <row r="25" spans="1:9" ht="15">
      <c r="A25" s="56"/>
      <c r="B25" s="56" t="s">
        <v>363</v>
      </c>
      <c r="G25" s="39"/>
      <c r="H25" s="79"/>
      <c r="I25" s="79"/>
    </row>
    <row r="26" spans="1:9" ht="15">
      <c r="A26" s="56"/>
      <c r="B26" s="2" t="s">
        <v>383</v>
      </c>
      <c r="G26" s="39"/>
      <c r="H26" s="79"/>
      <c r="I26" s="79"/>
    </row>
    <row r="27" spans="1:9" ht="15">
      <c r="A27" s="56"/>
      <c r="B27" s="2" t="s">
        <v>384</v>
      </c>
      <c r="G27" s="39"/>
      <c r="H27" s="79"/>
      <c r="I27" s="79"/>
    </row>
    <row r="28" spans="1:9" ht="15">
      <c r="A28" s="56"/>
      <c r="G28" s="39"/>
      <c r="H28" s="79"/>
      <c r="I28" s="79"/>
    </row>
    <row r="29" spans="1:9" ht="15">
      <c r="A29" s="56" t="s">
        <v>51</v>
      </c>
      <c r="B29" s="56" t="s">
        <v>364</v>
      </c>
      <c r="C29" s="56"/>
      <c r="D29" s="56"/>
      <c r="E29" s="39"/>
      <c r="F29" s="39"/>
      <c r="G29" s="39"/>
      <c r="H29" s="77"/>
      <c r="I29" s="77"/>
    </row>
    <row r="30" spans="1:9" ht="15">
      <c r="A30" s="56"/>
      <c r="B30" s="56" t="s">
        <v>382</v>
      </c>
      <c r="C30" s="56"/>
      <c r="D30" s="56"/>
      <c r="E30" s="39"/>
      <c r="F30" s="39"/>
      <c r="G30" s="39"/>
      <c r="H30" s="77"/>
      <c r="I30" s="77"/>
    </row>
    <row r="31" spans="1:9" ht="15">
      <c r="A31" s="56"/>
      <c r="B31" s="56"/>
      <c r="C31" s="56"/>
      <c r="D31" s="56"/>
      <c r="E31" s="39"/>
      <c r="F31" s="39"/>
      <c r="G31" s="39"/>
      <c r="H31" s="77"/>
      <c r="I31" s="77"/>
    </row>
    <row r="32" spans="1:9" ht="15">
      <c r="A32" s="56"/>
      <c r="B32" s="56" t="s">
        <v>365</v>
      </c>
      <c r="C32" s="56"/>
      <c r="D32" s="56"/>
      <c r="E32" s="39"/>
      <c r="F32" s="39"/>
      <c r="G32" s="39"/>
      <c r="H32" s="77"/>
      <c r="I32" s="77"/>
    </row>
    <row r="33" spans="1:9" ht="15">
      <c r="A33" s="56"/>
      <c r="B33" s="56" t="s">
        <v>376</v>
      </c>
      <c r="C33" s="56"/>
      <c r="D33" s="56"/>
      <c r="E33" s="39"/>
      <c r="F33" s="39"/>
      <c r="G33" s="39"/>
      <c r="H33" s="77"/>
      <c r="I33" s="77"/>
    </row>
    <row r="34" spans="1:9" ht="14.25" customHeight="1">
      <c r="A34" s="56"/>
      <c r="B34" s="56" t="s">
        <v>366</v>
      </c>
      <c r="E34" s="39"/>
      <c r="F34" s="39"/>
      <c r="G34" s="39"/>
      <c r="H34" s="77"/>
      <c r="I34" s="77"/>
    </row>
    <row r="35" spans="1:9" ht="15" customHeight="1">
      <c r="A35" s="56"/>
      <c r="B35" s="56" t="s">
        <v>367</v>
      </c>
      <c r="E35" s="39"/>
      <c r="F35" s="39"/>
      <c r="G35" s="39"/>
      <c r="H35" s="77"/>
      <c r="I35" s="77"/>
    </row>
    <row r="36" spans="1:9" ht="15" customHeight="1">
      <c r="A36" s="56"/>
      <c r="B36" s="56" t="s">
        <v>368</v>
      </c>
      <c r="E36" s="39"/>
      <c r="F36" s="39"/>
      <c r="G36" s="39"/>
      <c r="H36" s="77"/>
      <c r="I36" s="77"/>
    </row>
    <row r="37" spans="1:9" ht="15" customHeight="1">
      <c r="A37" s="56"/>
      <c r="B37" s="56"/>
      <c r="E37" s="39"/>
      <c r="F37" s="39"/>
      <c r="G37" s="39"/>
      <c r="H37" s="77"/>
      <c r="I37" s="77"/>
    </row>
    <row r="38" spans="1:9" ht="15">
      <c r="A38" s="56" t="s">
        <v>52</v>
      </c>
      <c r="B38" s="56" t="s">
        <v>377</v>
      </c>
      <c r="C38" s="56"/>
      <c r="D38" s="56"/>
      <c r="E38" s="39"/>
      <c r="F38" s="39"/>
      <c r="G38" s="39"/>
      <c r="H38" s="77"/>
      <c r="I38" s="77"/>
    </row>
    <row r="39" spans="1:9" ht="15">
      <c r="A39" s="56"/>
      <c r="B39" s="56" t="s">
        <v>378</v>
      </c>
      <c r="C39" s="56"/>
      <c r="D39" s="56"/>
      <c r="E39" s="39"/>
      <c r="F39" s="39"/>
      <c r="G39" s="39"/>
      <c r="H39" s="77"/>
      <c r="I39" s="77"/>
    </row>
    <row r="40" spans="1:9" ht="15">
      <c r="A40" s="56"/>
      <c r="B40" s="56" t="s">
        <v>369</v>
      </c>
      <c r="C40" s="56"/>
      <c r="D40" s="56"/>
      <c r="E40" s="39"/>
      <c r="F40" s="39"/>
      <c r="G40" s="39"/>
      <c r="H40" s="77"/>
      <c r="I40" s="77"/>
    </row>
    <row r="41" spans="1:9" ht="11.25" customHeight="1">
      <c r="A41" s="56"/>
      <c r="B41" s="56"/>
      <c r="C41" s="56"/>
      <c r="D41" s="56"/>
      <c r="E41" s="39"/>
      <c r="F41" s="39"/>
      <c r="G41" s="39"/>
      <c r="H41" s="77"/>
      <c r="I41" s="77"/>
    </row>
    <row r="42" spans="1:9" ht="15">
      <c r="A42" s="57" t="s">
        <v>54</v>
      </c>
      <c r="B42" s="56" t="s">
        <v>233</v>
      </c>
      <c r="C42" s="56"/>
      <c r="D42" s="56"/>
      <c r="E42" s="39"/>
      <c r="F42" s="39"/>
      <c r="G42" s="39"/>
      <c r="H42" s="77"/>
      <c r="I42" s="77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5.25" customHeight="1"/>
    <row r="58" spans="1:2" ht="15">
      <c r="A58" s="2" t="s">
        <v>55</v>
      </c>
      <c r="B58" s="2" t="s">
        <v>18</v>
      </c>
    </row>
    <row r="59" spans="1:14" ht="15">
      <c r="A59" s="59"/>
      <c r="G59" s="27" t="s">
        <v>56</v>
      </c>
      <c r="H59" s="2"/>
      <c r="I59" s="27" t="s">
        <v>234</v>
      </c>
      <c r="L59" s="60"/>
      <c r="M59" s="60"/>
      <c r="N59" s="60"/>
    </row>
    <row r="60" spans="1:14" ht="15">
      <c r="A60" s="4"/>
      <c r="B60" s="4"/>
      <c r="C60" s="4"/>
      <c r="D60" s="4"/>
      <c r="E60" s="4"/>
      <c r="F60" s="4"/>
      <c r="G60" s="27" t="s">
        <v>57</v>
      </c>
      <c r="H60" s="2"/>
      <c r="I60" s="27" t="s">
        <v>337</v>
      </c>
      <c r="L60" s="61"/>
      <c r="M60" s="61"/>
      <c r="N60" s="61"/>
    </row>
    <row r="61" spans="1:14" ht="15">
      <c r="A61" s="4"/>
      <c r="B61" s="4"/>
      <c r="C61" s="4"/>
      <c r="D61" s="4"/>
      <c r="E61" s="4"/>
      <c r="F61" s="4"/>
      <c r="G61" s="119" t="s">
        <v>2</v>
      </c>
      <c r="H61" s="2"/>
      <c r="I61" s="119" t="s">
        <v>2</v>
      </c>
      <c r="L61" s="60"/>
      <c r="M61" s="60"/>
      <c r="N61" s="60"/>
    </row>
    <row r="62" spans="1:14" ht="15">
      <c r="A62" s="62"/>
      <c r="B62" s="2" t="s">
        <v>372</v>
      </c>
      <c r="G62" s="77"/>
      <c r="H62" s="77"/>
      <c r="I62" s="69"/>
      <c r="L62" s="4"/>
      <c r="M62" s="4"/>
      <c r="N62" s="4"/>
    </row>
    <row r="63" spans="1:14" ht="15">
      <c r="A63" s="4"/>
      <c r="B63" s="59" t="s">
        <v>29</v>
      </c>
      <c r="C63" s="59"/>
      <c r="D63" s="59"/>
      <c r="E63" s="59"/>
      <c r="F63" s="59"/>
      <c r="G63" s="39">
        <f>+I63-64687</f>
        <v>35925</v>
      </c>
      <c r="H63" s="39"/>
      <c r="I63" s="39">
        <v>100612</v>
      </c>
      <c r="L63" s="4"/>
      <c r="M63" s="4"/>
      <c r="N63" s="4"/>
    </row>
    <row r="64" spans="1:14" ht="15">
      <c r="A64" s="4"/>
      <c r="B64" s="59" t="s">
        <v>138</v>
      </c>
      <c r="C64" s="59"/>
      <c r="D64" s="59"/>
      <c r="E64" s="59"/>
      <c r="F64" s="59"/>
      <c r="G64" s="87">
        <f>+I64-1592</f>
        <v>1057</v>
      </c>
      <c r="H64" s="77"/>
      <c r="I64" s="69">
        <v>2649</v>
      </c>
      <c r="L64" s="4"/>
      <c r="M64" s="4"/>
      <c r="N64" s="4"/>
    </row>
    <row r="65" spans="2:9" ht="15">
      <c r="B65" s="4" t="s">
        <v>286</v>
      </c>
      <c r="C65" s="81"/>
      <c r="D65" s="81"/>
      <c r="E65" s="4"/>
      <c r="F65" s="4"/>
      <c r="G65" s="87">
        <f>+I65--1271</f>
        <v>0</v>
      </c>
      <c r="H65" s="87"/>
      <c r="I65" s="39">
        <f>-1267-4</f>
        <v>-1271</v>
      </c>
    </row>
    <row r="66" spans="2:9" ht="15.75" thickBot="1">
      <c r="B66" s="4"/>
      <c r="C66" s="81"/>
      <c r="D66" s="81"/>
      <c r="E66" s="4"/>
      <c r="F66" s="4"/>
      <c r="G66" s="118">
        <f>SUM(G63:G65)</f>
        <v>36982</v>
      </c>
      <c r="H66" s="77"/>
      <c r="I66" s="84">
        <f>SUM(I63:I65)</f>
        <v>101990</v>
      </c>
    </row>
    <row r="67" spans="2:10" ht="11.25" customHeight="1" thickTop="1">
      <c r="B67" s="4"/>
      <c r="C67" s="81"/>
      <c r="D67" s="81"/>
      <c r="E67" s="4"/>
      <c r="F67" s="4"/>
      <c r="G67" s="4"/>
      <c r="H67" s="78"/>
      <c r="I67" s="78"/>
      <c r="J67" s="78"/>
    </row>
    <row r="68" spans="2:4" ht="15">
      <c r="B68" s="2" t="s">
        <v>250</v>
      </c>
      <c r="C68" s="59"/>
      <c r="D68" s="59"/>
    </row>
    <row r="69" ht="15">
      <c r="B69" s="2" t="s">
        <v>338</v>
      </c>
    </row>
    <row r="70" ht="15">
      <c r="B70" s="2" t="s">
        <v>235</v>
      </c>
    </row>
    <row r="72" spans="1:2" ht="15">
      <c r="A72" s="2" t="s">
        <v>60</v>
      </c>
      <c r="B72" s="2" t="s">
        <v>176</v>
      </c>
    </row>
    <row r="73" spans="2:4" ht="15">
      <c r="B73" s="56" t="s">
        <v>273</v>
      </c>
      <c r="C73" s="58"/>
      <c r="D73" s="58"/>
    </row>
    <row r="74" ht="15">
      <c r="B74" s="56" t="s">
        <v>339</v>
      </c>
    </row>
    <row r="75" ht="15">
      <c r="B75" s="56"/>
    </row>
    <row r="76" spans="1:2" ht="15">
      <c r="A76" s="2" t="s">
        <v>59</v>
      </c>
      <c r="B76" s="2" t="s">
        <v>139</v>
      </c>
    </row>
    <row r="77" spans="2:9" ht="12.75" customHeight="1">
      <c r="B77" s="56"/>
      <c r="C77" s="58"/>
      <c r="D77" s="58"/>
      <c r="H77" s="27"/>
      <c r="I77" s="27"/>
    </row>
    <row r="78" spans="2:3" ht="15">
      <c r="B78" s="2" t="s">
        <v>69</v>
      </c>
      <c r="C78" s="2" t="s">
        <v>107</v>
      </c>
    </row>
    <row r="79" spans="3:9" ht="15">
      <c r="C79" s="2" t="s">
        <v>340</v>
      </c>
      <c r="G79" s="161"/>
      <c r="H79" s="162"/>
      <c r="I79" s="162"/>
    </row>
    <row r="80" spans="9:11" ht="12.75" customHeight="1">
      <c r="I80" s="80"/>
      <c r="J80" s="80"/>
      <c r="K80" s="80"/>
    </row>
    <row r="81" spans="2:3" ht="15">
      <c r="B81" s="2" t="s">
        <v>70</v>
      </c>
      <c r="C81" s="2" t="s">
        <v>341</v>
      </c>
    </row>
    <row r="82" spans="7:12" ht="15">
      <c r="G82" s="60"/>
      <c r="H82" s="2"/>
      <c r="I82" s="73" t="s">
        <v>2</v>
      </c>
      <c r="L82" s="60"/>
    </row>
    <row r="83" spans="2:12" ht="15.75" thickBot="1">
      <c r="B83" s="2" t="s">
        <v>71</v>
      </c>
      <c r="C83" s="2" t="s">
        <v>140</v>
      </c>
      <c r="G83" s="4"/>
      <c r="I83" s="83">
        <f>3428+1778</f>
        <v>5206</v>
      </c>
      <c r="L83" s="4"/>
    </row>
    <row r="84" spans="2:12" ht="16.5" thickBot="1" thickTop="1">
      <c r="B84" s="2" t="s">
        <v>72</v>
      </c>
      <c r="C84" s="2" t="s">
        <v>141</v>
      </c>
      <c r="G84" s="4"/>
      <c r="I84" s="116">
        <f>3276+1778</f>
        <v>5054</v>
      </c>
      <c r="L84" s="4"/>
    </row>
    <row r="85" spans="2:12" ht="16.5" thickBot="1" thickTop="1">
      <c r="B85" s="2" t="s">
        <v>73</v>
      </c>
      <c r="C85" s="2" t="s">
        <v>142</v>
      </c>
      <c r="G85" s="4"/>
      <c r="H85" s="2"/>
      <c r="I85" s="83">
        <f>3303+528</f>
        <v>3831</v>
      </c>
      <c r="L85" s="4"/>
    </row>
    <row r="86" spans="8:9" ht="15.75" thickTop="1">
      <c r="H86" s="27"/>
      <c r="I86" s="2"/>
    </row>
    <row r="87" spans="1:2" ht="15">
      <c r="A87" s="2" t="s">
        <v>58</v>
      </c>
      <c r="B87" s="2" t="s">
        <v>203</v>
      </c>
    </row>
    <row r="88" ht="15">
      <c r="B88" s="2" t="s">
        <v>143</v>
      </c>
    </row>
    <row r="89" spans="2:4" ht="12.75" customHeight="1">
      <c r="B89" s="63"/>
      <c r="C89" s="63"/>
      <c r="D89" s="63"/>
    </row>
    <row r="90" spans="2:4" ht="15">
      <c r="B90" s="2" t="s">
        <v>251</v>
      </c>
      <c r="C90" s="63"/>
      <c r="D90" s="63"/>
    </row>
    <row r="91" spans="2:4" ht="15">
      <c r="B91" s="2" t="s">
        <v>133</v>
      </c>
      <c r="C91" s="63"/>
      <c r="D91" s="63"/>
    </row>
    <row r="92" spans="3:4" ht="12.75" customHeight="1">
      <c r="C92" s="63"/>
      <c r="D92" s="63"/>
    </row>
    <row r="93" spans="1:9" ht="15">
      <c r="A93" s="59"/>
      <c r="B93" s="2" t="s">
        <v>204</v>
      </c>
      <c r="H93" s="27"/>
      <c r="I93" s="27"/>
    </row>
    <row r="94" spans="1:9" ht="15">
      <c r="A94" s="59"/>
      <c r="B94" s="2" t="s">
        <v>205</v>
      </c>
      <c r="H94" s="27"/>
      <c r="I94" s="27"/>
    </row>
    <row r="95" spans="1:9" ht="15">
      <c r="A95" s="59"/>
      <c r="B95" s="2" t="s">
        <v>342</v>
      </c>
      <c r="H95" s="27"/>
      <c r="I95" s="27"/>
    </row>
    <row r="96" spans="1:9" ht="15">
      <c r="A96" s="59"/>
      <c r="B96" s="2" t="s">
        <v>264</v>
      </c>
      <c r="H96" s="27"/>
      <c r="I96" s="27"/>
    </row>
    <row r="97" spans="1:9" ht="15">
      <c r="A97" s="59"/>
      <c r="B97" s="2" t="s">
        <v>265</v>
      </c>
      <c r="H97" s="27"/>
      <c r="I97" s="27"/>
    </row>
    <row r="98" spans="1:9" ht="15">
      <c r="A98" s="59"/>
      <c r="B98" s="2" t="s">
        <v>343</v>
      </c>
      <c r="H98" s="27"/>
      <c r="I98" s="27"/>
    </row>
    <row r="99" spans="1:9" ht="15">
      <c r="A99" s="59"/>
      <c r="B99" s="2" t="s">
        <v>266</v>
      </c>
      <c r="H99" s="27"/>
      <c r="I99" s="27"/>
    </row>
    <row r="100" spans="1:9" ht="15">
      <c r="A100" s="59"/>
      <c r="B100" s="2" t="s">
        <v>143</v>
      </c>
      <c r="H100" s="27"/>
      <c r="I100" s="27"/>
    </row>
    <row r="101" spans="1:9" ht="15">
      <c r="A101" s="59"/>
      <c r="H101" s="27"/>
      <c r="I101" s="27"/>
    </row>
    <row r="102" spans="1:9" ht="15">
      <c r="A102" s="59"/>
      <c r="H102" s="27"/>
      <c r="I102" s="27"/>
    </row>
    <row r="103" spans="1:9" ht="15">
      <c r="A103" s="59"/>
      <c r="H103" s="27"/>
      <c r="I103" s="27"/>
    </row>
    <row r="104" spans="1:9" ht="15">
      <c r="A104" s="59"/>
      <c r="H104" s="27"/>
      <c r="I104" s="27"/>
    </row>
    <row r="105" spans="1:9" ht="15">
      <c r="A105" s="59"/>
      <c r="H105" s="27"/>
      <c r="I105" s="27"/>
    </row>
    <row r="106" spans="1:9" ht="15">
      <c r="A106" s="59"/>
      <c r="H106" s="27"/>
      <c r="I106" s="27"/>
    </row>
    <row r="107" spans="1:9" ht="15">
      <c r="A107" s="59"/>
      <c r="H107" s="27"/>
      <c r="I107" s="27"/>
    </row>
    <row r="108" spans="1:9" ht="15">
      <c r="A108" s="59"/>
      <c r="H108" s="27"/>
      <c r="I108" s="27"/>
    </row>
    <row r="109" spans="1:9" ht="15">
      <c r="A109" s="59"/>
      <c r="H109" s="27"/>
      <c r="I109" s="27"/>
    </row>
    <row r="110" spans="1:9" ht="15">
      <c r="A110" s="2" t="s">
        <v>58</v>
      </c>
      <c r="B110" s="2" t="s">
        <v>144</v>
      </c>
      <c r="H110" s="27"/>
      <c r="I110" s="27"/>
    </row>
    <row r="111" spans="1:9" ht="15">
      <c r="A111" s="59"/>
      <c r="B111" s="2" t="s">
        <v>401</v>
      </c>
      <c r="H111" s="27"/>
      <c r="I111" s="27"/>
    </row>
    <row r="112" spans="1:9" ht="15">
      <c r="A112" s="59"/>
      <c r="B112" s="2" t="s">
        <v>400</v>
      </c>
      <c r="H112" s="27"/>
      <c r="I112" s="27"/>
    </row>
    <row r="113" spans="1:9" ht="15">
      <c r="A113" s="59"/>
      <c r="B113" s="2" t="s">
        <v>236</v>
      </c>
      <c r="H113" s="27"/>
      <c r="I113" s="27"/>
    </row>
    <row r="114" spans="1:9" ht="15">
      <c r="A114" s="59"/>
      <c r="B114" s="2" t="s">
        <v>237</v>
      </c>
      <c r="H114" s="27"/>
      <c r="I114" s="27"/>
    </row>
    <row r="115" spans="1:9" ht="15">
      <c r="A115" s="59"/>
      <c r="B115" s="2" t="s">
        <v>238</v>
      </c>
      <c r="H115" s="27"/>
      <c r="I115" s="27"/>
    </row>
    <row r="116" spans="1:9" ht="15">
      <c r="A116" s="59"/>
      <c r="B116" s="2" t="s">
        <v>239</v>
      </c>
      <c r="H116" s="27"/>
      <c r="I116" s="27"/>
    </row>
    <row r="117" spans="1:9" ht="15">
      <c r="A117" s="59"/>
      <c r="B117" s="2" t="s">
        <v>347</v>
      </c>
      <c r="H117" s="27"/>
      <c r="I117" s="27"/>
    </row>
    <row r="118" spans="1:9" ht="15">
      <c r="A118" s="59"/>
      <c r="I118" s="27"/>
    </row>
    <row r="119" spans="2:12" ht="15">
      <c r="B119" s="2" t="s">
        <v>391</v>
      </c>
      <c r="C119" s="163"/>
      <c r="D119" s="163"/>
      <c r="E119" s="163"/>
      <c r="F119" s="163"/>
      <c r="G119" s="163"/>
      <c r="H119" s="164"/>
      <c r="I119" s="164"/>
      <c r="J119" s="162"/>
      <c r="L119" s="166"/>
    </row>
    <row r="120" spans="1:9" ht="15">
      <c r="A120" s="59"/>
      <c r="B120" s="2" t="s">
        <v>402</v>
      </c>
      <c r="H120" s="27"/>
      <c r="I120" s="27"/>
    </row>
    <row r="121" spans="1:9" ht="15">
      <c r="A121" s="59"/>
      <c r="B121" s="2" t="s">
        <v>404</v>
      </c>
      <c r="H121" s="27"/>
      <c r="I121" s="27"/>
    </row>
    <row r="122" spans="1:9" ht="15">
      <c r="A122" s="59"/>
      <c r="B122" s="2" t="s">
        <v>405</v>
      </c>
      <c r="H122" s="27"/>
      <c r="I122" s="27"/>
    </row>
    <row r="123" spans="1:9" ht="15">
      <c r="A123" s="59"/>
      <c r="B123" s="2" t="s">
        <v>403</v>
      </c>
      <c r="H123" s="27"/>
      <c r="I123" s="27"/>
    </row>
    <row r="124" spans="1:9" ht="15">
      <c r="A124" s="59"/>
      <c r="H124" s="27"/>
      <c r="I124" s="27"/>
    </row>
    <row r="125" spans="2:9" ht="15">
      <c r="B125" s="2" t="s">
        <v>349</v>
      </c>
      <c r="H125" s="27"/>
      <c r="I125" s="27"/>
    </row>
    <row r="126" spans="1:9" ht="15">
      <c r="A126" s="59"/>
      <c r="B126" s="2" t="s">
        <v>350</v>
      </c>
      <c r="H126" s="27"/>
      <c r="I126" s="27"/>
    </row>
    <row r="127" spans="1:9" ht="15">
      <c r="A127" s="59"/>
      <c r="B127" s="2" t="s">
        <v>351</v>
      </c>
      <c r="H127" s="27"/>
      <c r="I127" s="27"/>
    </row>
    <row r="128" spans="1:9" ht="15">
      <c r="A128" s="59"/>
      <c r="B128" s="2" t="s">
        <v>392</v>
      </c>
      <c r="H128" s="27"/>
      <c r="I128" s="27"/>
    </row>
    <row r="129" spans="1:9" ht="15">
      <c r="A129" s="59"/>
      <c r="B129" s="2" t="s">
        <v>393</v>
      </c>
      <c r="H129" s="27"/>
      <c r="I129" s="27"/>
    </row>
    <row r="130" spans="1:9" ht="15">
      <c r="A130" s="59"/>
      <c r="B130" s="2" t="s">
        <v>394</v>
      </c>
      <c r="H130" s="27"/>
      <c r="I130" s="27"/>
    </row>
    <row r="131" spans="1:9" ht="15">
      <c r="A131" s="59"/>
      <c r="B131" s="2" t="s">
        <v>395</v>
      </c>
      <c r="H131" s="27"/>
      <c r="I131" s="27"/>
    </row>
    <row r="132" spans="1:9" ht="15">
      <c r="A132" s="59"/>
      <c r="B132" s="2" t="s">
        <v>396</v>
      </c>
      <c r="H132" s="27"/>
      <c r="I132" s="27"/>
    </row>
    <row r="133" spans="1:9" ht="15">
      <c r="A133" s="59"/>
      <c r="B133" s="2" t="s">
        <v>397</v>
      </c>
      <c r="H133" s="27"/>
      <c r="I133" s="27"/>
    </row>
    <row r="134" spans="5:12" ht="15">
      <c r="E134" s="60"/>
      <c r="F134" s="60"/>
      <c r="G134" s="27"/>
      <c r="I134" s="27"/>
      <c r="J134" s="27"/>
      <c r="K134" s="73"/>
      <c r="L134" s="60"/>
    </row>
    <row r="135" spans="1:12" ht="15">
      <c r="A135" s="2" t="s">
        <v>61</v>
      </c>
      <c r="B135" s="2" t="s">
        <v>346</v>
      </c>
      <c r="E135" s="60"/>
      <c r="F135" s="60"/>
      <c r="G135" s="27"/>
      <c r="I135" s="27"/>
      <c r="J135" s="27"/>
      <c r="K135" s="73"/>
      <c r="L135" s="60"/>
    </row>
    <row r="136" spans="2:12" ht="15">
      <c r="B136" s="2" t="s">
        <v>370</v>
      </c>
      <c r="E136" s="60"/>
      <c r="F136" s="60"/>
      <c r="G136" s="27"/>
      <c r="I136" s="27"/>
      <c r="J136" s="27"/>
      <c r="K136" s="73"/>
      <c r="L136" s="60"/>
    </row>
    <row r="137" spans="2:12" ht="15">
      <c r="B137" s="2" t="s">
        <v>371</v>
      </c>
      <c r="E137" s="60"/>
      <c r="F137" s="60"/>
      <c r="G137" s="27"/>
      <c r="I137" s="27"/>
      <c r="J137" s="27"/>
      <c r="K137" s="73"/>
      <c r="L137" s="60"/>
    </row>
    <row r="138" spans="5:12" ht="15">
      <c r="E138" s="60"/>
      <c r="F138" s="60"/>
      <c r="G138" s="27"/>
      <c r="I138" s="27"/>
      <c r="J138" s="27"/>
      <c r="K138" s="73"/>
      <c r="L138" s="60"/>
    </row>
    <row r="139" spans="1:2" ht="15">
      <c r="A139" s="2" t="s">
        <v>62</v>
      </c>
      <c r="B139" s="2" t="s">
        <v>183</v>
      </c>
    </row>
    <row r="140" ht="15">
      <c r="B140" s="2" t="s">
        <v>184</v>
      </c>
    </row>
    <row r="142" spans="1:2" ht="15">
      <c r="A142" s="2" t="s">
        <v>63</v>
      </c>
      <c r="B142" s="2" t="s">
        <v>182</v>
      </c>
    </row>
    <row r="143" ht="15">
      <c r="B143" s="2" t="s">
        <v>33</v>
      </c>
    </row>
    <row r="145" spans="1:2" ht="15">
      <c r="A145" s="2" t="s">
        <v>64</v>
      </c>
      <c r="B145" s="2" t="s">
        <v>386</v>
      </c>
    </row>
    <row r="146" ht="15">
      <c r="B146" s="2" t="s">
        <v>387</v>
      </c>
    </row>
    <row r="147" ht="15">
      <c r="B147" s="2" t="s">
        <v>388</v>
      </c>
    </row>
    <row r="148" ht="15">
      <c r="B148" s="2" t="s">
        <v>389</v>
      </c>
    </row>
    <row r="149" ht="15">
      <c r="B149" s="2" t="s">
        <v>390</v>
      </c>
    </row>
    <row r="161" spans="1:2" ht="15">
      <c r="A161" s="2" t="s">
        <v>65</v>
      </c>
      <c r="B161" s="2" t="s">
        <v>145</v>
      </c>
    </row>
    <row r="162" spans="7:10" ht="15">
      <c r="G162" s="181" t="s">
        <v>170</v>
      </c>
      <c r="H162" s="181"/>
      <c r="I162" s="181"/>
      <c r="J162" s="181"/>
    </row>
    <row r="163" spans="7:10" ht="15">
      <c r="G163" s="169" t="s">
        <v>147</v>
      </c>
      <c r="H163" s="169"/>
      <c r="I163" s="169" t="s">
        <v>149</v>
      </c>
      <c r="J163" s="169"/>
    </row>
    <row r="164" spans="7:10" ht="15">
      <c r="G164" s="169" t="s">
        <v>146</v>
      </c>
      <c r="H164" s="169"/>
      <c r="I164" s="169" t="s">
        <v>148</v>
      </c>
      <c r="J164" s="169"/>
    </row>
    <row r="165" spans="7:10" ht="15">
      <c r="G165" s="27" t="str">
        <f>+PL!F10</f>
        <v>31-1-2004</v>
      </c>
      <c r="H165" s="27" t="str">
        <f>+PL!G10</f>
        <v>31-1-2003</v>
      </c>
      <c r="I165" s="27" t="str">
        <f>+PL!H10</f>
        <v>31-1-2004</v>
      </c>
      <c r="J165" s="27" t="str">
        <f>+PL!I10</f>
        <v>31-1-2003</v>
      </c>
    </row>
    <row r="166" spans="2:8" ht="15">
      <c r="B166" s="2" t="s">
        <v>150</v>
      </c>
      <c r="G166" s="69">
        <f>+PL!F28</f>
        <v>80855</v>
      </c>
      <c r="H166" s="87">
        <f>+PL!G28</f>
        <v>71042</v>
      </c>
    </row>
    <row r="167" spans="2:8" ht="15">
      <c r="B167" s="2" t="s">
        <v>160</v>
      </c>
      <c r="G167" s="69"/>
      <c r="H167" s="87"/>
    </row>
    <row r="168" spans="2:8" ht="15">
      <c r="B168" s="2" t="s">
        <v>161</v>
      </c>
      <c r="G168" s="69">
        <v>8751</v>
      </c>
      <c r="H168" s="87">
        <v>25695</v>
      </c>
    </row>
    <row r="169" spans="2:8" ht="15.75" thickBot="1">
      <c r="B169" s="2" t="s">
        <v>162</v>
      </c>
      <c r="G169" s="84">
        <f>+G166+G168</f>
        <v>89606</v>
      </c>
      <c r="H169" s="118">
        <f>+H166+H168</f>
        <v>96737</v>
      </c>
    </row>
    <row r="170" spans="2:10" ht="16.5" thickBot="1" thickTop="1">
      <c r="B170" s="2" t="s">
        <v>151</v>
      </c>
      <c r="G170" s="39"/>
      <c r="H170" s="77"/>
      <c r="I170" s="145">
        <f>+G166/G173*100</f>
        <v>9.446990878404824</v>
      </c>
      <c r="J170" s="143">
        <f>+H166/H173*100</f>
        <v>10.313759422074076</v>
      </c>
    </row>
    <row r="171" spans="7:8" ht="8.25" customHeight="1" thickTop="1">
      <c r="G171" s="39"/>
      <c r="H171" s="77"/>
    </row>
    <row r="172" spans="2:11" ht="15">
      <c r="B172" s="2" t="s">
        <v>157</v>
      </c>
      <c r="G172" s="39"/>
      <c r="H172" s="77"/>
      <c r="I172" s="27"/>
      <c r="J172" s="27"/>
      <c r="K172" s="27"/>
    </row>
    <row r="173" spans="2:11" ht="15">
      <c r="B173" s="2" t="s">
        <v>158</v>
      </c>
      <c r="G173" s="39">
        <v>855881</v>
      </c>
      <c r="H173" s="77">
        <v>688808</v>
      </c>
      <c r="I173" s="27"/>
      <c r="J173" s="27"/>
      <c r="K173" s="27"/>
    </row>
    <row r="174" spans="3:11" ht="15">
      <c r="C174" s="2" t="s">
        <v>152</v>
      </c>
      <c r="G174" s="39">
        <v>2228</v>
      </c>
      <c r="H174" s="77">
        <v>14765</v>
      </c>
      <c r="I174" s="27"/>
      <c r="J174" s="27"/>
      <c r="K174" s="27"/>
    </row>
    <row r="175" spans="3:11" ht="15">
      <c r="C175" s="2" t="s">
        <v>155</v>
      </c>
      <c r="G175" s="39"/>
      <c r="H175" s="77"/>
      <c r="I175" s="27"/>
      <c r="J175" s="2"/>
      <c r="K175" s="27"/>
    </row>
    <row r="176" spans="3:11" ht="15">
      <c r="C176" s="2" t="s">
        <v>154</v>
      </c>
      <c r="G176" s="39">
        <v>-1562</v>
      </c>
      <c r="H176" s="77">
        <v>-10263</v>
      </c>
      <c r="I176" s="27"/>
      <c r="J176" s="2"/>
      <c r="K176" s="27"/>
    </row>
    <row r="177" spans="3:11" ht="15">
      <c r="C177" s="2" t="s">
        <v>163</v>
      </c>
      <c r="G177" s="44">
        <f>1255867-G173-G174-G176</f>
        <v>399320</v>
      </c>
      <c r="H177" s="142">
        <v>603059</v>
      </c>
      <c r="I177" s="85"/>
      <c r="K177" s="85"/>
    </row>
    <row r="178" spans="2:11" ht="15">
      <c r="B178" s="2" t="s">
        <v>153</v>
      </c>
      <c r="G178" s="69"/>
      <c r="H178" s="87"/>
      <c r="I178" s="85"/>
      <c r="K178" s="85"/>
    </row>
    <row r="179" spans="2:11" ht="15.75" thickBot="1">
      <c r="B179" s="2" t="s">
        <v>159</v>
      </c>
      <c r="G179" s="83">
        <f>SUM(G173:G177)</f>
        <v>1255867</v>
      </c>
      <c r="H179" s="83">
        <f>SUM(H173:H177)</f>
        <v>1296369</v>
      </c>
      <c r="I179" s="85"/>
      <c r="K179" s="85"/>
    </row>
    <row r="180" spans="7:11" ht="9.75" customHeight="1" thickTop="1">
      <c r="G180" s="39"/>
      <c r="H180" s="77"/>
      <c r="I180" s="85"/>
      <c r="K180" s="85"/>
    </row>
    <row r="181" spans="2:11" ht="15.75" thickBot="1">
      <c r="B181" s="2" t="s">
        <v>156</v>
      </c>
      <c r="I181" s="146">
        <f>+G169/G179*100</f>
        <v>7.134991205278903</v>
      </c>
      <c r="J181" s="144">
        <f>+H169/H179*100</f>
        <v>7.462150051412831</v>
      </c>
      <c r="K181" s="85"/>
    </row>
    <row r="182" spans="9:11" ht="15.75" thickTop="1">
      <c r="I182" s="148"/>
      <c r="J182" s="149"/>
      <c r="K182" s="85"/>
    </row>
    <row r="183" spans="9:11" ht="12.75" customHeight="1">
      <c r="I183" s="148"/>
      <c r="J183" s="149"/>
      <c r="K183" s="85"/>
    </row>
    <row r="184" spans="7:10" ht="15">
      <c r="G184" s="181" t="s">
        <v>348</v>
      </c>
      <c r="H184" s="181"/>
      <c r="I184" s="181"/>
      <c r="J184" s="181"/>
    </row>
    <row r="185" spans="7:10" ht="15">
      <c r="G185" s="169" t="s">
        <v>147</v>
      </c>
      <c r="H185" s="169"/>
      <c r="I185" s="169" t="s">
        <v>149</v>
      </c>
      <c r="J185" s="169"/>
    </row>
    <row r="186" spans="7:10" ht="15">
      <c r="G186" s="169" t="s">
        <v>146</v>
      </c>
      <c r="H186" s="169"/>
      <c r="I186" s="169" t="s">
        <v>148</v>
      </c>
      <c r="J186" s="169"/>
    </row>
    <row r="187" spans="7:10" ht="15">
      <c r="G187" s="27" t="str">
        <f>+G165</f>
        <v>31-1-2004</v>
      </c>
      <c r="H187" s="27" t="str">
        <f>+H165</f>
        <v>31-1-2003</v>
      </c>
      <c r="I187" s="27" t="str">
        <f>+I165</f>
        <v>31-1-2004</v>
      </c>
      <c r="J187" s="27" t="str">
        <f>+J165</f>
        <v>31-1-2003</v>
      </c>
    </row>
    <row r="188" spans="2:8" ht="15">
      <c r="B188" s="2" t="s">
        <v>150</v>
      </c>
      <c r="G188" s="69">
        <f>+PL!H28</f>
        <v>229498</v>
      </c>
      <c r="H188" s="87">
        <f>+PL!I28</f>
        <v>208073</v>
      </c>
    </row>
    <row r="189" spans="2:8" ht="15">
      <c r="B189" s="2" t="s">
        <v>160</v>
      </c>
      <c r="G189" s="69"/>
      <c r="H189" s="87"/>
    </row>
    <row r="190" spans="2:8" ht="15">
      <c r="B190" s="2" t="s">
        <v>161</v>
      </c>
      <c r="G190" s="69">
        <v>26254</v>
      </c>
      <c r="H190" s="87">
        <v>25695</v>
      </c>
    </row>
    <row r="191" spans="2:8" ht="15.75" thickBot="1">
      <c r="B191" s="2" t="s">
        <v>162</v>
      </c>
      <c r="G191" s="84">
        <f>+G188+G190</f>
        <v>255752</v>
      </c>
      <c r="H191" s="118">
        <f>+H188+H190</f>
        <v>233768</v>
      </c>
    </row>
    <row r="192" spans="2:10" ht="16.5" thickBot="1" thickTop="1">
      <c r="B192" s="2" t="s">
        <v>151</v>
      </c>
      <c r="G192" s="39"/>
      <c r="H192" s="77"/>
      <c r="I192" s="145">
        <f>+G188/G195*100</f>
        <v>28.18810905884058</v>
      </c>
      <c r="J192" s="143">
        <f>+H188/H195*100</f>
        <v>33.51799349205838</v>
      </c>
    </row>
    <row r="193" spans="7:8" ht="15.75" thickTop="1">
      <c r="G193" s="39"/>
      <c r="H193" s="77"/>
    </row>
    <row r="194" spans="2:11" ht="15">
      <c r="B194" s="2" t="s">
        <v>157</v>
      </c>
      <c r="G194" s="39"/>
      <c r="H194" s="77"/>
      <c r="I194" s="27"/>
      <c r="J194" s="27"/>
      <c r="K194" s="27"/>
    </row>
    <row r="195" spans="2:11" ht="15">
      <c r="B195" s="2" t="s">
        <v>158</v>
      </c>
      <c r="G195" s="39">
        <v>814166</v>
      </c>
      <c r="H195" s="77">
        <v>620780</v>
      </c>
      <c r="I195" s="27"/>
      <c r="J195" s="27"/>
      <c r="K195" s="27"/>
    </row>
    <row r="196" spans="3:11" ht="15">
      <c r="C196" s="2" t="s">
        <v>152</v>
      </c>
      <c r="G196" s="39">
        <v>2228</v>
      </c>
      <c r="H196" s="77">
        <v>14765</v>
      </c>
      <c r="I196" s="27"/>
      <c r="J196" s="27"/>
      <c r="K196" s="27"/>
    </row>
    <row r="197" spans="3:11" ht="15">
      <c r="C197" s="2" t="s">
        <v>155</v>
      </c>
      <c r="G197" s="39"/>
      <c r="H197" s="77"/>
      <c r="I197" s="27"/>
      <c r="J197" s="2"/>
      <c r="K197" s="27"/>
    </row>
    <row r="198" spans="3:11" ht="15">
      <c r="C198" s="2" t="s">
        <v>154</v>
      </c>
      <c r="G198" s="39">
        <v>-1562</v>
      </c>
      <c r="H198" s="77">
        <v>-10263</v>
      </c>
      <c r="I198" s="27"/>
      <c r="J198" s="2"/>
      <c r="K198" s="27"/>
    </row>
    <row r="199" spans="3:11" ht="15">
      <c r="C199" s="2" t="s">
        <v>163</v>
      </c>
      <c r="G199" s="44">
        <f>1218548-G195-G196-G198</f>
        <v>403716</v>
      </c>
      <c r="H199" s="142">
        <v>393283</v>
      </c>
      <c r="I199" s="85"/>
      <c r="K199" s="85"/>
    </row>
    <row r="200" spans="2:11" ht="15">
      <c r="B200" s="2" t="s">
        <v>153</v>
      </c>
      <c r="G200" s="69"/>
      <c r="H200" s="87"/>
      <c r="I200" s="85"/>
      <c r="K200" s="85"/>
    </row>
    <row r="201" spans="2:11" ht="15.75" thickBot="1">
      <c r="B201" s="2" t="s">
        <v>159</v>
      </c>
      <c r="G201" s="83">
        <f>SUM(G195:G199)</f>
        <v>1218548</v>
      </c>
      <c r="H201" s="83">
        <f>SUM(H195:H199)</f>
        <v>1018565</v>
      </c>
      <c r="I201" s="85"/>
      <c r="K201" s="85"/>
    </row>
    <row r="202" spans="7:11" ht="15.75" thickTop="1">
      <c r="G202" s="39"/>
      <c r="H202" s="77"/>
      <c r="I202" s="85"/>
      <c r="K202" s="85"/>
    </row>
    <row r="203" spans="2:11" ht="15.75" thickBot="1">
      <c r="B203" s="2" t="s">
        <v>156</v>
      </c>
      <c r="I203" s="146">
        <f>+G191/G201*100</f>
        <v>20.9882581564288</v>
      </c>
      <c r="J203" s="144">
        <f>+H191/H201*100</f>
        <v>22.95071988532887</v>
      </c>
      <c r="K203" s="85"/>
    </row>
    <row r="204" spans="9:11" ht="15.75" thickTop="1">
      <c r="I204" s="148"/>
      <c r="J204" s="149"/>
      <c r="K204" s="85"/>
    </row>
    <row r="205" spans="9:11" ht="15">
      <c r="I205" s="148"/>
      <c r="J205" s="149"/>
      <c r="K205" s="85"/>
    </row>
    <row r="206" spans="9:11" ht="15">
      <c r="I206" s="85"/>
      <c r="K206" s="85"/>
    </row>
    <row r="207" spans="9:11" ht="15">
      <c r="I207" s="85"/>
      <c r="K207" s="85"/>
    </row>
    <row r="208" spans="1:11" ht="15">
      <c r="A208" s="2" t="s">
        <v>81</v>
      </c>
      <c r="B208" s="2" t="s">
        <v>82</v>
      </c>
      <c r="I208" s="85"/>
      <c r="K208" s="85"/>
    </row>
    <row r="222" ht="15">
      <c r="J222" s="27"/>
    </row>
  </sheetData>
  <mergeCells count="10">
    <mergeCell ref="G162:J162"/>
    <mergeCell ref="G163:H163"/>
    <mergeCell ref="G164:H164"/>
    <mergeCell ref="I163:J163"/>
    <mergeCell ref="I164:J164"/>
    <mergeCell ref="G184:J184"/>
    <mergeCell ref="G185:H185"/>
    <mergeCell ref="I185:J185"/>
    <mergeCell ref="G186:H186"/>
    <mergeCell ref="I186:J186"/>
  </mergeCells>
  <printOptions/>
  <pageMargins left="0.75" right="0.49" top="0.86" bottom="0.81" header="0.5" footer="0.5"/>
  <pageSetup firstPageNumber="8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31-1-2004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Amy</cp:lastModifiedBy>
  <cp:lastPrinted>2004-03-04T11:04:59Z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