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895" firstSheet="1" activeTab="1"/>
  </bookViews>
  <sheets>
    <sheet name="GFH1Q05" sheetId="1" state="hidden" r:id="rId1"/>
    <sheet name="GFH0305" sheetId="2" r:id="rId2"/>
  </sheets>
  <definedNames>
    <definedName name="_xlnm.Print_Area" localSheetId="1">'GFH0305'!$A$1:$H$102</definedName>
  </definedNames>
  <calcPr fullCalcOnLoad="1"/>
</workbook>
</file>

<file path=xl/sharedStrings.xml><?xml version="1.0" encoding="utf-8"?>
<sst xmlns="http://schemas.openxmlformats.org/spreadsheetml/2006/main" count="302" uniqueCount="60">
  <si>
    <t>SELECTED FINANCIAL HIGHLIGHTS YEAR-ON-YEAR (Y-O-Y)</t>
  </si>
  <si>
    <t>AND QUARTER-ON-QUARTER (Q-O-Q)</t>
  </si>
  <si>
    <t>CAHB GROUP</t>
  </si>
  <si>
    <t>Y-O-Y (3 Month Ended)</t>
  </si>
  <si>
    <t>Q-O-Q</t>
  </si>
  <si>
    <t>Inc/(Dec)</t>
  </si>
  <si>
    <t>31/03/2005</t>
  </si>
  <si>
    <t>31/03/2004</t>
  </si>
  <si>
    <t>31/12/2004</t>
  </si>
  <si>
    <t>%</t>
  </si>
  <si>
    <t>RM '000</t>
  </si>
  <si>
    <t>Total assets</t>
  </si>
  <si>
    <t>Net loans and advances</t>
  </si>
  <si>
    <t>Shareholders' funds</t>
  </si>
  <si>
    <t>Net Interest Income</t>
  </si>
  <si>
    <t>Non Interest Income</t>
  </si>
  <si>
    <t>Staff Cost and Overheads</t>
  </si>
  <si>
    <t>Operating profit</t>
  </si>
  <si>
    <t>Provision for other receivables</t>
  </si>
  <si>
    <t>&gt;100</t>
  </si>
  <si>
    <t>Loan loss and provisions</t>
  </si>
  <si>
    <t>Profit before taxation</t>
  </si>
  <si>
    <t>Profit after taxation and</t>
  </si>
  <si>
    <t xml:space="preserve">    minority interest</t>
  </si>
  <si>
    <t>Net NPL ratio (%)</t>
  </si>
  <si>
    <t>Cost to income ratio (%)</t>
  </si>
  <si>
    <t>Net tangible assets (NTA) RM per share</t>
  </si>
  <si>
    <t>Earnings per share (annualised) (sen)</t>
  </si>
  <si>
    <t>Return on average equity (annualised) (%)</t>
  </si>
  <si>
    <t>Risk weighted capital ratio (%)</t>
  </si>
  <si>
    <t>BCB GROUP</t>
  </si>
  <si>
    <t xml:space="preserve">      </t>
  </si>
  <si>
    <t>N/A</t>
  </si>
  <si>
    <t>CIMB GROUP</t>
  </si>
  <si>
    <t>(&gt;100)</t>
  </si>
  <si>
    <t>PT BANK NIAGA GROUP</t>
  </si>
  <si>
    <t>Y-O-Y (12 Month Ended)</t>
  </si>
  <si>
    <t>31/3/2004</t>
  </si>
  <si>
    <t>Overhead expenses</t>
  </si>
  <si>
    <t>Net NPL ratio (%) *</t>
  </si>
  <si>
    <t>Cost to income ratio (%) *</t>
  </si>
  <si>
    <t>Net tangible assets (NTA) Rupiah per share *</t>
  </si>
  <si>
    <t>Earnings per share (annualised) (Rupiah) *</t>
  </si>
  <si>
    <t>Return on average equity (annualised) (%) *</t>
  </si>
  <si>
    <t>Risk weighted capital ratio (%) *</t>
  </si>
  <si>
    <t xml:space="preserve"> * at Bank Niaga level only and derived from numbers reported in original currency (IDR)</t>
  </si>
  <si>
    <t>30/06/2005</t>
  </si>
  <si>
    <t>Profit before allowance</t>
  </si>
  <si>
    <t xml:space="preserve">Allowances for Losses on Loans and Financing </t>
  </si>
  <si>
    <t>Impairment loss</t>
  </si>
  <si>
    <t>#</t>
  </si>
  <si>
    <t xml:space="preserve">PT BANK NIAGA </t>
  </si>
  <si>
    <t xml:space="preserve"> *at Bank Niaga level and derived from numbers reported in original currency (IDR)</t>
  </si>
  <si>
    <t># Based on six months NPL classification. Changes to three months classification were made effectively from fourth quarter 2004</t>
  </si>
  <si>
    <t>Y-O-Y (9 Month Ended)</t>
  </si>
  <si>
    <t>30/09/2004</t>
  </si>
  <si>
    <t>30/09/2005</t>
  </si>
  <si>
    <t>&gt;100.0</t>
  </si>
  <si>
    <t>(&gt;100.0)</t>
  </si>
  <si>
    <t>BCHB GROUP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</si>
</sst>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?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41" fontId="0" fillId="0" borderId="5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6" xfId="0" applyFill="1" applyBorder="1" applyAlignment="1">
      <alignment/>
    </xf>
    <xf numFmtId="164" fontId="0" fillId="0" borderId="7" xfId="0" applyNumberFormat="1" applyBorder="1" applyAlignment="1">
      <alignment/>
    </xf>
    <xf numFmtId="43" fontId="0" fillId="0" borderId="7" xfId="15" applyFill="1" applyBorder="1" applyAlignment="1">
      <alignment/>
    </xf>
    <xf numFmtId="0" fontId="0" fillId="0" borderId="7" xfId="0" applyBorder="1" applyAlignment="1">
      <alignment/>
    </xf>
    <xf numFmtId="4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41" fontId="0" fillId="0" borderId="5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43" fontId="0" fillId="0" borderId="5" xfId="0" applyNumberFormat="1" applyFont="1" applyBorder="1" applyAlignment="1">
      <alignment horizontal="right"/>
    </xf>
    <xf numFmtId="43" fontId="0" fillId="0" borderId="8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 quotePrefix="1">
      <alignment/>
    </xf>
    <xf numFmtId="43" fontId="0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43" fontId="0" fillId="0" borderId="5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43" fontId="0" fillId="0" borderId="8" xfId="15" applyFill="1" applyBorder="1" applyAlignment="1">
      <alignment/>
    </xf>
    <xf numFmtId="41" fontId="0" fillId="0" borderId="0" xfId="15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3" fontId="0" fillId="0" borderId="7" xfId="0" applyNumberFormat="1" applyFont="1" applyFill="1" applyBorder="1" applyAlignment="1">
      <alignment/>
    </xf>
    <xf numFmtId="43" fontId="4" fillId="0" borderId="7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41" fontId="0" fillId="0" borderId="5" xfId="15" applyNumberForma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9" fontId="3" fillId="2" borderId="2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41" fontId="0" fillId="0" borderId="5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43" fontId="0" fillId="0" borderId="8" xfId="15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41" fontId="8" fillId="0" borderId="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43" fontId="8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7" xfId="15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="75" zoomScaleNormal="75" workbookViewId="0" topLeftCell="A1">
      <selection activeCell="H6" sqref="H6"/>
    </sheetView>
  </sheetViews>
  <sheetFormatPr defaultColWidth="9.140625" defaultRowHeight="12.75"/>
  <cols>
    <col min="1" max="1" width="37.140625" style="0" customWidth="1"/>
    <col min="2" max="2" width="9.28125" style="0" bestFit="1" customWidth="1"/>
    <col min="3" max="3" width="14.7109375" style="0" bestFit="1" customWidth="1"/>
    <col min="4" max="4" width="13.421875" style="0" bestFit="1" customWidth="1"/>
    <col min="5" max="5" width="5.28125" style="0" customWidth="1"/>
    <col min="6" max="6" width="8.28125" style="0" bestFit="1" customWidth="1"/>
    <col min="7" max="7" width="12.421875" style="0" customWidth="1"/>
    <col min="8" max="8" width="13.421875" style="0" bestFit="1" customWidth="1"/>
  </cols>
  <sheetData>
    <row r="1" spans="1:8" ht="18">
      <c r="A1" s="116" t="s">
        <v>0</v>
      </c>
      <c r="B1" s="117"/>
      <c r="C1" s="117"/>
      <c r="D1" s="117"/>
      <c r="E1" s="117"/>
      <c r="F1" s="117"/>
      <c r="G1" s="117"/>
      <c r="H1" s="117"/>
    </row>
    <row r="2" spans="1:8" ht="15.75">
      <c r="A2" s="116" t="s">
        <v>1</v>
      </c>
      <c r="B2" s="116"/>
      <c r="C2" s="116"/>
      <c r="D2" s="116"/>
      <c r="E2" s="116"/>
      <c r="F2" s="116"/>
      <c r="G2" s="116"/>
      <c r="H2" s="116"/>
    </row>
    <row r="4" spans="1:8" ht="15.75">
      <c r="A4" s="116" t="s">
        <v>2</v>
      </c>
      <c r="B4" s="116"/>
      <c r="C4" s="116"/>
      <c r="D4" s="116"/>
      <c r="E4" s="116"/>
      <c r="F4" s="116"/>
      <c r="G4" s="116"/>
      <c r="H4" s="116"/>
    </row>
    <row r="5" spans="1:8" ht="15.75">
      <c r="A5" s="2"/>
      <c r="B5" s="2"/>
      <c r="C5" s="114" t="s">
        <v>3</v>
      </c>
      <c r="D5" s="114"/>
      <c r="E5" s="3"/>
      <c r="F5" s="2"/>
      <c r="G5" s="114" t="s">
        <v>4</v>
      </c>
      <c r="H5" s="114"/>
    </row>
    <row r="6" spans="1:8" ht="12.75">
      <c r="A6" s="4"/>
      <c r="B6" s="5" t="s">
        <v>5</v>
      </c>
      <c r="C6" s="6" t="s">
        <v>6</v>
      </c>
      <c r="D6" s="6" t="s">
        <v>7</v>
      </c>
      <c r="E6" s="6"/>
      <c r="F6" s="5" t="s">
        <v>5</v>
      </c>
      <c r="G6" s="6" t="s">
        <v>6</v>
      </c>
      <c r="H6" s="7" t="s">
        <v>8</v>
      </c>
    </row>
    <row r="7" spans="1:8" ht="12.75">
      <c r="A7" s="8"/>
      <c r="B7" s="9" t="s">
        <v>9</v>
      </c>
      <c r="C7" s="10" t="s">
        <v>10</v>
      </c>
      <c r="D7" s="10" t="s">
        <v>10</v>
      </c>
      <c r="E7" s="10"/>
      <c r="F7" s="9" t="s">
        <v>9</v>
      </c>
      <c r="G7" s="10" t="s">
        <v>10</v>
      </c>
      <c r="H7" s="11" t="s">
        <v>10</v>
      </c>
    </row>
    <row r="8" spans="1:8" ht="12.75">
      <c r="A8" s="12"/>
      <c r="B8" s="13"/>
      <c r="C8" s="13"/>
      <c r="D8" s="13"/>
      <c r="E8" s="13"/>
      <c r="F8" s="13"/>
      <c r="G8" s="13"/>
      <c r="H8" s="14"/>
    </row>
    <row r="9" spans="1:8" ht="12.75">
      <c r="A9" s="12" t="s">
        <v>11</v>
      </c>
      <c r="B9" s="15">
        <f aca="true" t="shared" si="0" ref="B9:B18">(C9-D9)/D9*100</f>
        <v>13.606052710668646</v>
      </c>
      <c r="C9" s="16">
        <v>114762426</v>
      </c>
      <c r="D9" s="16">
        <v>101017880</v>
      </c>
      <c r="E9" s="16"/>
      <c r="F9" s="17">
        <f aca="true" t="shared" si="1" ref="F9:F15">(G9-H9)/H9*100</f>
        <v>2.4933004548396833</v>
      </c>
      <c r="G9" s="16">
        <f>+C9</f>
        <v>114762426</v>
      </c>
      <c r="H9" s="18">
        <v>111970661</v>
      </c>
    </row>
    <row r="10" spans="1:8" ht="12.75">
      <c r="A10" s="12" t="s">
        <v>12</v>
      </c>
      <c r="B10" s="15">
        <f t="shared" si="0"/>
        <v>16.508989311386717</v>
      </c>
      <c r="C10" s="16">
        <v>64136437</v>
      </c>
      <c r="D10" s="16">
        <v>55048488</v>
      </c>
      <c r="E10" s="16"/>
      <c r="F10" s="17">
        <f t="shared" si="1"/>
        <v>2.4494133910131826</v>
      </c>
      <c r="G10" s="16">
        <f>+C10</f>
        <v>64136437</v>
      </c>
      <c r="H10" s="18">
        <v>62603030</v>
      </c>
    </row>
    <row r="11" spans="1:8" ht="12.75">
      <c r="A11" s="12" t="s">
        <v>13</v>
      </c>
      <c r="B11" s="15">
        <f t="shared" si="0"/>
        <v>10.102750001560237</v>
      </c>
      <c r="C11" s="16">
        <v>9173836</v>
      </c>
      <c r="D11" s="16">
        <v>8332068</v>
      </c>
      <c r="E11" s="16"/>
      <c r="F11" s="17">
        <f t="shared" si="1"/>
        <v>4.393587474548346</v>
      </c>
      <c r="G11" s="16">
        <f>+C11</f>
        <v>9173836</v>
      </c>
      <c r="H11" s="18">
        <v>8787739</v>
      </c>
    </row>
    <row r="12" spans="1:8" ht="12.75">
      <c r="A12" s="12" t="s">
        <v>14</v>
      </c>
      <c r="B12" s="15">
        <f t="shared" si="0"/>
        <v>5.250663294329487</v>
      </c>
      <c r="C12" s="16">
        <v>704930</v>
      </c>
      <c r="D12" s="16">
        <v>669763</v>
      </c>
      <c r="E12" s="16"/>
      <c r="F12" s="17">
        <f t="shared" si="1"/>
        <v>8.458611622686565</v>
      </c>
      <c r="G12" s="16">
        <f>C12</f>
        <v>704930</v>
      </c>
      <c r="H12" s="18">
        <v>649953</v>
      </c>
    </row>
    <row r="13" spans="1:8" ht="12.75">
      <c r="A13" s="12" t="s">
        <v>15</v>
      </c>
      <c r="B13" s="15">
        <f t="shared" si="0"/>
        <v>21.310782927978426</v>
      </c>
      <c r="C13" s="16">
        <v>448008</v>
      </c>
      <c r="D13" s="16">
        <v>369306</v>
      </c>
      <c r="E13" s="16"/>
      <c r="F13" s="17">
        <f t="shared" si="1"/>
        <v>35.75382937139221</v>
      </c>
      <c r="G13" s="16">
        <f>C13</f>
        <v>448008</v>
      </c>
      <c r="H13" s="18">
        <v>330015</v>
      </c>
    </row>
    <row r="14" spans="1:8" ht="12.75">
      <c r="A14" s="12" t="s">
        <v>16</v>
      </c>
      <c r="B14" s="15">
        <f t="shared" si="0"/>
        <v>7.645833819817563</v>
      </c>
      <c r="C14" s="16">
        <v>507084</v>
      </c>
      <c r="D14" s="16">
        <v>471067</v>
      </c>
      <c r="E14" s="16"/>
      <c r="F14" s="17">
        <f t="shared" si="1"/>
        <v>37.22292731636958</v>
      </c>
      <c r="G14" s="16">
        <f>C14</f>
        <v>507084</v>
      </c>
      <c r="H14" s="18">
        <v>369533</v>
      </c>
    </row>
    <row r="15" spans="1:8" ht="12.75">
      <c r="A15" s="12" t="s">
        <v>17</v>
      </c>
      <c r="B15" s="15">
        <f t="shared" si="0"/>
        <v>13.882121579381568</v>
      </c>
      <c r="C15" s="16">
        <f>C18+C16+C17</f>
        <v>647421</v>
      </c>
      <c r="D15" s="16">
        <f>D18+D16+D17</f>
        <v>568501</v>
      </c>
      <c r="E15" s="16"/>
      <c r="F15" s="17">
        <f t="shared" si="1"/>
        <v>6.049750363643511</v>
      </c>
      <c r="G15" s="16">
        <f>G18+G16+G17</f>
        <v>647421</v>
      </c>
      <c r="H15" s="18">
        <v>610488</v>
      </c>
    </row>
    <row r="16" spans="1:8" ht="12.75">
      <c r="A16" s="12" t="s">
        <v>18</v>
      </c>
      <c r="B16" s="15">
        <f t="shared" si="0"/>
        <v>95.83557709567403</v>
      </c>
      <c r="C16" s="16">
        <v>10910</v>
      </c>
      <c r="D16" s="16">
        <v>5571</v>
      </c>
      <c r="E16" s="16"/>
      <c r="F16" s="19" t="s">
        <v>19</v>
      </c>
      <c r="G16" s="16">
        <f>C16</f>
        <v>10910</v>
      </c>
      <c r="H16" s="18">
        <v>-1775</v>
      </c>
    </row>
    <row r="17" spans="1:8" ht="12.75">
      <c r="A17" s="12" t="s">
        <v>20</v>
      </c>
      <c r="B17" s="15">
        <f t="shared" si="0"/>
        <v>-42.010263580500215</v>
      </c>
      <c r="C17" s="16">
        <v>114470</v>
      </c>
      <c r="D17" s="16">
        <v>197397</v>
      </c>
      <c r="E17" s="16"/>
      <c r="F17" s="17">
        <f>(G17-H17)/H17*100</f>
        <v>-76.96094611675106</v>
      </c>
      <c r="G17" s="16">
        <f>C17</f>
        <v>114470</v>
      </c>
      <c r="H17" s="18">
        <v>496852</v>
      </c>
    </row>
    <row r="18" spans="1:8" ht="12.75">
      <c r="A18" s="12" t="s">
        <v>21</v>
      </c>
      <c r="B18" s="15">
        <f t="shared" si="0"/>
        <v>42.81638046359699</v>
      </c>
      <c r="C18" s="16">
        <v>522041</v>
      </c>
      <c r="D18" s="16">
        <v>365533</v>
      </c>
      <c r="E18" s="16"/>
      <c r="F18" s="20" t="s">
        <v>19</v>
      </c>
      <c r="G18" s="16">
        <f>C18</f>
        <v>522041</v>
      </c>
      <c r="H18" s="18">
        <v>115411</v>
      </c>
    </row>
    <row r="19" spans="1:8" ht="12.75">
      <c r="A19" s="12" t="s">
        <v>22</v>
      </c>
      <c r="B19" s="15"/>
      <c r="C19" s="13"/>
      <c r="D19" s="13"/>
      <c r="E19" s="13"/>
      <c r="F19" s="17"/>
      <c r="G19" s="13"/>
      <c r="H19" s="14"/>
    </row>
    <row r="20" spans="1:8" ht="12.75">
      <c r="A20" s="12" t="s">
        <v>23</v>
      </c>
      <c r="B20" s="15">
        <f aca="true" t="shared" si="2" ref="B20:B26">(C20-D20)/D20*100</f>
        <v>43.66887512862636</v>
      </c>
      <c r="C20" s="16">
        <v>318330</v>
      </c>
      <c r="D20" s="16">
        <v>221572</v>
      </c>
      <c r="E20" s="16"/>
      <c r="F20" s="21">
        <f aca="true" t="shared" si="3" ref="F20:F26">(G20-H20)/H20*100</f>
        <v>60.05651478736562</v>
      </c>
      <c r="G20" s="16">
        <f>C20</f>
        <v>318330</v>
      </c>
      <c r="H20" s="18">
        <v>198886</v>
      </c>
    </row>
    <row r="21" spans="1:8" ht="12.75">
      <c r="A21" s="22" t="s">
        <v>24</v>
      </c>
      <c r="B21" s="15">
        <f t="shared" si="2"/>
        <v>13.451327433628313</v>
      </c>
      <c r="C21" s="23">
        <v>6.41</v>
      </c>
      <c r="D21" s="23">
        <v>5.65</v>
      </c>
      <c r="E21" s="24"/>
      <c r="F21" s="21">
        <f t="shared" si="3"/>
        <v>-6.42335766423357</v>
      </c>
      <c r="G21" s="23">
        <f>C21</f>
        <v>6.41</v>
      </c>
      <c r="H21" s="25">
        <v>6.85</v>
      </c>
    </row>
    <row r="22" spans="1:8" ht="12.75">
      <c r="A22" s="22" t="s">
        <v>25</v>
      </c>
      <c r="B22" s="15">
        <f t="shared" si="2"/>
        <v>-2.985720913592916</v>
      </c>
      <c r="C22" s="23">
        <f>C14/(C12+C13)*100</f>
        <v>43.98189668481739</v>
      </c>
      <c r="D22" s="23">
        <f>D14/(D12+D13)*100</f>
        <v>45.335487826121266</v>
      </c>
      <c r="E22" s="24"/>
      <c r="F22" s="21">
        <f t="shared" si="3"/>
        <v>16.636000926648308</v>
      </c>
      <c r="G22" s="23">
        <f>G14/(G12+G13)*100</f>
        <v>43.98189668481739</v>
      </c>
      <c r="H22" s="25">
        <f>H14/(H12+H13)*100</f>
        <v>37.70868028343783</v>
      </c>
    </row>
    <row r="23" spans="1:8" ht="12.75">
      <c r="A23" s="12" t="s">
        <v>26</v>
      </c>
      <c r="B23" s="15">
        <f t="shared" si="2"/>
        <v>7.987423194402889</v>
      </c>
      <c r="C23" s="23">
        <f>(C11-377544)/(2708383)</f>
        <v>3.2478021018445324</v>
      </c>
      <c r="D23" s="23">
        <f>(D11-340624)/(2657106)</f>
        <v>3.007574406139612</v>
      </c>
      <c r="E23" s="26"/>
      <c r="F23" s="17">
        <f t="shared" si="3"/>
        <v>3.763645426342893</v>
      </c>
      <c r="G23" s="23">
        <f>C23</f>
        <v>3.2478021018445324</v>
      </c>
      <c r="H23" s="25">
        <v>3.13</v>
      </c>
    </row>
    <row r="24" spans="1:8" ht="12.75">
      <c r="A24" s="22" t="s">
        <v>27</v>
      </c>
      <c r="B24" s="15">
        <f t="shared" si="2"/>
        <v>40.931001960479236</v>
      </c>
      <c r="C24" s="23">
        <f>C20/2698980*100*4</f>
        <v>47.17782273303248</v>
      </c>
      <c r="D24" s="23">
        <f>D20/2647546*100*4</f>
        <v>33.475830070563454</v>
      </c>
      <c r="E24" s="26"/>
      <c r="F24" s="17">
        <f t="shared" si="3"/>
        <v>57.75942881403918</v>
      </c>
      <c r="G24" s="23">
        <f>C24</f>
        <v>47.17782273303248</v>
      </c>
      <c r="H24" s="25">
        <f>H20/2660245*100*4</f>
        <v>29.90491477288746</v>
      </c>
    </row>
    <row r="25" spans="1:8" ht="12.75">
      <c r="A25" s="12" t="s">
        <v>28</v>
      </c>
      <c r="B25" s="15">
        <f t="shared" si="2"/>
        <v>29.83180012476321</v>
      </c>
      <c r="C25" s="49">
        <f>C20/((C11+8787739)/2)*100*4</f>
        <v>14.178266660913645</v>
      </c>
      <c r="D25" s="49">
        <f>D20/((D11+7899587)/2)*100*4</f>
        <v>10.920488391356272</v>
      </c>
      <c r="E25" s="50"/>
      <c r="F25" s="51">
        <f t="shared" si="3"/>
        <v>48.70161668342506</v>
      </c>
      <c r="G25" s="49">
        <f>C25</f>
        <v>14.178266660913645</v>
      </c>
      <c r="H25" s="52">
        <f>H20/((7899587+H11)/2)*100*4</f>
        <v>9.53470915591869</v>
      </c>
    </row>
    <row r="26" spans="1:8" ht="12.75">
      <c r="A26" s="27" t="s">
        <v>29</v>
      </c>
      <c r="B26" s="28">
        <f t="shared" si="2"/>
        <v>-9.009009009009002</v>
      </c>
      <c r="C26" s="29">
        <v>13.13</v>
      </c>
      <c r="D26" s="29">
        <v>14.43</v>
      </c>
      <c r="E26" s="46"/>
      <c r="F26" s="53">
        <f t="shared" si="3"/>
        <v>-1.5742128935532163</v>
      </c>
      <c r="G26" s="29">
        <f>C26</f>
        <v>13.13</v>
      </c>
      <c r="H26" s="54">
        <v>13.34</v>
      </c>
    </row>
    <row r="27" spans="1:8" ht="12.75">
      <c r="A27" s="31"/>
      <c r="B27" s="15"/>
      <c r="C27" s="31"/>
      <c r="D27" s="31"/>
      <c r="G27" s="31"/>
      <c r="H27" s="31"/>
    </row>
    <row r="28" spans="1:8" ht="15.75">
      <c r="A28" s="116" t="s">
        <v>30</v>
      </c>
      <c r="B28" s="116"/>
      <c r="C28" s="116"/>
      <c r="D28" s="116"/>
      <c r="E28" s="116"/>
      <c r="F28" s="116"/>
      <c r="G28" s="116"/>
      <c r="H28" s="116"/>
    </row>
    <row r="29" spans="1:8" ht="15.75">
      <c r="A29" s="1"/>
      <c r="B29" s="1"/>
      <c r="C29" s="114" t="s">
        <v>3</v>
      </c>
      <c r="D29" s="114"/>
      <c r="E29" s="3"/>
      <c r="F29" s="1"/>
      <c r="G29" s="115" t="s">
        <v>4</v>
      </c>
      <c r="H29" s="115"/>
    </row>
    <row r="30" spans="1:8" ht="12.75">
      <c r="A30" s="32"/>
      <c r="B30" s="5" t="s">
        <v>5</v>
      </c>
      <c r="C30" s="6" t="s">
        <v>6</v>
      </c>
      <c r="D30" s="6" t="s">
        <v>7</v>
      </c>
      <c r="E30" s="6"/>
      <c r="F30" s="5" t="s">
        <v>5</v>
      </c>
      <c r="G30" s="6" t="s">
        <v>6</v>
      </c>
      <c r="H30" s="7" t="s">
        <v>8</v>
      </c>
    </row>
    <row r="31" spans="1:8" ht="12.75">
      <c r="A31" s="33"/>
      <c r="B31" s="9" t="s">
        <v>9</v>
      </c>
      <c r="C31" s="10" t="s">
        <v>10</v>
      </c>
      <c r="D31" s="10" t="s">
        <v>10</v>
      </c>
      <c r="E31" s="10"/>
      <c r="F31" s="9" t="s">
        <v>9</v>
      </c>
      <c r="G31" s="10" t="s">
        <v>10</v>
      </c>
      <c r="H31" s="11" t="s">
        <v>10</v>
      </c>
    </row>
    <row r="32" spans="1:8" ht="12.75">
      <c r="A32" s="12"/>
      <c r="B32" s="13"/>
      <c r="C32" s="34"/>
      <c r="D32" s="34"/>
      <c r="E32" s="34"/>
      <c r="F32" s="35"/>
      <c r="G32" s="34"/>
      <c r="H32" s="36"/>
    </row>
    <row r="33" spans="1:8" ht="12.75">
      <c r="A33" s="12" t="s">
        <v>11</v>
      </c>
      <c r="B33" s="15">
        <f aca="true" t="shared" si="4" ref="B33:B41">(C33-D33)/D33*100</f>
        <v>10.25589164460102</v>
      </c>
      <c r="C33" s="55">
        <v>82591641</v>
      </c>
      <c r="D33" s="55">
        <v>74909050</v>
      </c>
      <c r="E33" s="55"/>
      <c r="F33" s="56">
        <f aca="true" t="shared" si="5" ref="F33:F40">(G33-H33)/H33*100</f>
        <v>-0.3658824092988355</v>
      </c>
      <c r="G33" s="55">
        <f>+C33</f>
        <v>82591641</v>
      </c>
      <c r="H33" s="38">
        <v>82894939</v>
      </c>
    </row>
    <row r="34" spans="1:8" ht="12.75">
      <c r="A34" s="12" t="s">
        <v>12</v>
      </c>
      <c r="B34" s="15">
        <f t="shared" si="4"/>
        <v>13.852774286318361</v>
      </c>
      <c r="C34" s="55">
        <v>54124492</v>
      </c>
      <c r="D34" s="55">
        <v>47539019</v>
      </c>
      <c r="E34" s="55"/>
      <c r="F34" s="56">
        <f t="shared" si="5"/>
        <v>2.262123645165295</v>
      </c>
      <c r="G34" s="55">
        <f>+C34</f>
        <v>54124492</v>
      </c>
      <c r="H34" s="38">
        <v>52927213</v>
      </c>
    </row>
    <row r="35" spans="1:8" ht="12.75">
      <c r="A35" s="12" t="s">
        <v>13</v>
      </c>
      <c r="B35" s="15">
        <f t="shared" si="4"/>
        <v>5.148507036394577</v>
      </c>
      <c r="C35" s="55">
        <v>5621603</v>
      </c>
      <c r="D35" s="55">
        <v>5346346</v>
      </c>
      <c r="E35" s="55"/>
      <c r="F35" s="56">
        <f t="shared" si="5"/>
        <v>3.224591589557972</v>
      </c>
      <c r="G35" s="55">
        <f>+C35</f>
        <v>5621603</v>
      </c>
      <c r="H35" s="38">
        <v>5445992</v>
      </c>
    </row>
    <row r="36" spans="1:8" ht="12.75">
      <c r="A36" s="12" t="s">
        <v>14</v>
      </c>
      <c r="B36" s="15">
        <f t="shared" si="4"/>
        <v>8.971490041618686</v>
      </c>
      <c r="C36" s="55">
        <v>517644</v>
      </c>
      <c r="D36" s="55">
        <v>475027</v>
      </c>
      <c r="E36" s="55"/>
      <c r="F36" s="56">
        <f t="shared" si="5"/>
        <v>10.369737041293451</v>
      </c>
      <c r="G36" s="55">
        <f>SUM(C36)</f>
        <v>517644</v>
      </c>
      <c r="H36" s="38">
        <v>469009</v>
      </c>
    </row>
    <row r="37" spans="1:8" ht="12.75">
      <c r="A37" s="12" t="s">
        <v>15</v>
      </c>
      <c r="B37" s="15">
        <f t="shared" si="4"/>
        <v>-7.361958880920438</v>
      </c>
      <c r="C37" s="55">
        <v>131886</v>
      </c>
      <c r="D37" s="55">
        <v>142367</v>
      </c>
      <c r="E37" s="55"/>
      <c r="F37" s="56">
        <f t="shared" si="5"/>
        <v>-40.80759753869906</v>
      </c>
      <c r="G37" s="55">
        <f>SUM(C37)</f>
        <v>131886</v>
      </c>
      <c r="H37" s="38">
        <v>222809</v>
      </c>
    </row>
    <row r="38" spans="1:8" ht="12.75">
      <c r="A38" s="12" t="s">
        <v>16</v>
      </c>
      <c r="B38" s="15">
        <f t="shared" si="4"/>
        <v>6.873138489575542</v>
      </c>
      <c r="C38" s="55">
        <v>314331</v>
      </c>
      <c r="D38" s="55">
        <v>294116</v>
      </c>
      <c r="E38" s="55"/>
      <c r="F38" s="56">
        <f t="shared" si="5"/>
        <v>-6.497806202126869</v>
      </c>
      <c r="G38" s="55">
        <f>SUM(C38)</f>
        <v>314331</v>
      </c>
      <c r="H38" s="38">
        <v>336175</v>
      </c>
    </row>
    <row r="39" spans="1:8" ht="12.75">
      <c r="A39" s="12" t="s">
        <v>17</v>
      </c>
      <c r="B39" s="15">
        <f t="shared" si="4"/>
        <v>3.5854589548314455</v>
      </c>
      <c r="C39" s="55">
        <f>C41+C40</f>
        <v>334869</v>
      </c>
      <c r="D39" s="55">
        <f>D41+D40</f>
        <v>323278</v>
      </c>
      <c r="E39" s="55"/>
      <c r="F39" s="56">
        <f t="shared" si="5"/>
        <v>-5.31677566565726</v>
      </c>
      <c r="G39" s="55">
        <f>G41+G40</f>
        <v>334869</v>
      </c>
      <c r="H39" s="38">
        <f>H41+H40</f>
        <v>353673</v>
      </c>
    </row>
    <row r="40" spans="1:8" ht="12.75">
      <c r="A40" s="12" t="s">
        <v>20</v>
      </c>
      <c r="B40" s="15">
        <f t="shared" si="4"/>
        <v>-41.55239408373026</v>
      </c>
      <c r="C40" s="55">
        <v>93259</v>
      </c>
      <c r="D40" s="55">
        <v>159560</v>
      </c>
      <c r="E40" s="55"/>
      <c r="F40" s="56">
        <f t="shared" si="5"/>
        <v>-78.70891445348262</v>
      </c>
      <c r="G40" s="55">
        <f>SUM(C40)</f>
        <v>93259</v>
      </c>
      <c r="H40" s="38">
        <v>438019</v>
      </c>
    </row>
    <row r="41" spans="1:8" ht="12.75">
      <c r="A41" s="12" t="s">
        <v>21</v>
      </c>
      <c r="B41" s="15">
        <f t="shared" si="4"/>
        <v>47.57693106439121</v>
      </c>
      <c r="C41" s="55">
        <v>241610</v>
      </c>
      <c r="D41" s="55">
        <v>163718</v>
      </c>
      <c r="E41" s="55"/>
      <c r="F41" s="57" t="s">
        <v>19</v>
      </c>
      <c r="G41" s="55">
        <f>SUM(C41)</f>
        <v>241610</v>
      </c>
      <c r="H41" s="38">
        <v>-84346</v>
      </c>
    </row>
    <row r="42" spans="1:8" ht="12.75">
      <c r="A42" s="12" t="s">
        <v>22</v>
      </c>
      <c r="B42" s="15"/>
      <c r="C42" s="58" t="s">
        <v>31</v>
      </c>
      <c r="D42" s="58" t="s">
        <v>31</v>
      </c>
      <c r="E42" s="58"/>
      <c r="F42" s="56"/>
      <c r="G42" s="55"/>
      <c r="H42" s="38"/>
    </row>
    <row r="43" spans="1:8" ht="12.75">
      <c r="A43" s="12" t="s">
        <v>23</v>
      </c>
      <c r="B43" s="15">
        <f aca="true" t="shared" si="6" ref="B43:B49">(C43-D43)/D43*100</f>
        <v>46.11466305014692</v>
      </c>
      <c r="C43" s="55">
        <v>181001</v>
      </c>
      <c r="D43" s="55">
        <v>123876</v>
      </c>
      <c r="E43" s="55"/>
      <c r="F43" s="57" t="s">
        <v>19</v>
      </c>
      <c r="G43" s="55">
        <f>SUM(C43)</f>
        <v>181001</v>
      </c>
      <c r="H43" s="38">
        <v>-5572</v>
      </c>
    </row>
    <row r="44" spans="1:8" ht="12.75">
      <c r="A44" s="22" t="s">
        <v>24</v>
      </c>
      <c r="B44" s="15">
        <f t="shared" si="6"/>
        <v>14.152410575427684</v>
      </c>
      <c r="C44" s="59">
        <v>7.34</v>
      </c>
      <c r="D44" s="59">
        <v>6.43</v>
      </c>
      <c r="E44" s="60"/>
      <c r="F44" s="61">
        <f>(G44-H44)/H44*100</f>
        <v>-6.734434561626433</v>
      </c>
      <c r="G44" s="59">
        <f>C44</f>
        <v>7.34</v>
      </c>
      <c r="H44" s="41">
        <v>7.87</v>
      </c>
    </row>
    <row r="45" spans="1:8" ht="12.75">
      <c r="A45" s="22" t="s">
        <v>25</v>
      </c>
      <c r="B45" s="15">
        <f t="shared" si="6"/>
        <v>1.5855071584576588</v>
      </c>
      <c r="C45" s="49">
        <f>C38/(C36+C37)*100</f>
        <v>48.39360768555725</v>
      </c>
      <c r="D45" s="49">
        <f>D38/(D36+D37)*100</f>
        <v>47.63829904404643</v>
      </c>
      <c r="E45" s="60"/>
      <c r="F45" s="61">
        <f>(G45-H45)/H45*100</f>
        <v>-0.4041825775730684</v>
      </c>
      <c r="G45" s="49">
        <f>G38/(G36+G37)*100</f>
        <v>48.39360768555725</v>
      </c>
      <c r="H45" s="25">
        <v>48.59</v>
      </c>
    </row>
    <row r="46" spans="1:8" ht="12.75">
      <c r="A46" s="12" t="s">
        <v>26</v>
      </c>
      <c r="B46" s="15">
        <f t="shared" si="6"/>
        <v>5.148507036394585</v>
      </c>
      <c r="C46" s="49">
        <f>(C35)/(2063956)</f>
        <v>2.723702927775592</v>
      </c>
      <c r="D46" s="49">
        <f>(D35)/(2063956)</f>
        <v>2.5903391351366016</v>
      </c>
      <c r="E46" s="49"/>
      <c r="F46" s="56">
        <f>(G46-H46)/H46*100</f>
        <v>3.1705654460451544</v>
      </c>
      <c r="G46" s="49">
        <f>C46</f>
        <v>2.723702927775592</v>
      </c>
      <c r="H46" s="25">
        <v>2.64</v>
      </c>
    </row>
    <row r="47" spans="1:8" ht="12.75">
      <c r="A47" s="12" t="s">
        <v>27</v>
      </c>
      <c r="B47" s="15">
        <f t="shared" si="6"/>
        <v>46.11466305014692</v>
      </c>
      <c r="C47" s="49">
        <f>C43/2063956*100*4</f>
        <v>35.07846097494326</v>
      </c>
      <c r="D47" s="49">
        <f>D43/2063956*100*4</f>
        <v>24.007488531732264</v>
      </c>
      <c r="E47" s="49"/>
      <c r="F47" s="57">
        <v>100</v>
      </c>
      <c r="G47" s="49">
        <f>G43/2063956*100*4</f>
        <v>35.07846097494326</v>
      </c>
      <c r="H47" s="42" t="s">
        <v>32</v>
      </c>
    </row>
    <row r="48" spans="1:8" ht="12.75">
      <c r="A48" s="12" t="s">
        <v>28</v>
      </c>
      <c r="B48" s="15">
        <f t="shared" si="6"/>
        <v>39.567990211832985</v>
      </c>
      <c r="C48" s="49">
        <f>SUM(C43)/((C35+5445992)/2)*100*4</f>
        <v>13.083312137822173</v>
      </c>
      <c r="D48" s="49">
        <f>SUM(D43)/((D35+5225365)/2)*100*4</f>
        <v>9.37414955819356</v>
      </c>
      <c r="E48" s="50"/>
      <c r="F48" s="57">
        <v>100</v>
      </c>
      <c r="G48" s="49">
        <f>C48</f>
        <v>13.083312137822173</v>
      </c>
      <c r="H48" s="42" t="s">
        <v>32</v>
      </c>
    </row>
    <row r="49" spans="1:8" ht="12.75">
      <c r="A49" s="27" t="s">
        <v>29</v>
      </c>
      <c r="B49" s="28">
        <f t="shared" si="6"/>
        <v>-9.097320169252463</v>
      </c>
      <c r="C49" s="62">
        <v>12.89</v>
      </c>
      <c r="D49" s="62">
        <v>14.18</v>
      </c>
      <c r="E49" s="63"/>
      <c r="F49" s="64">
        <f>(G49-H49)/H49*100</f>
        <v>-2.12604403948367</v>
      </c>
      <c r="G49" s="62">
        <f>C49</f>
        <v>12.89</v>
      </c>
      <c r="H49" s="43">
        <v>13.17</v>
      </c>
    </row>
    <row r="50" spans="3:8" ht="12.75">
      <c r="C50" s="44"/>
      <c r="D50" s="44"/>
      <c r="E50" s="44"/>
      <c r="F50" s="45"/>
      <c r="G50" s="44"/>
      <c r="H50" s="44"/>
    </row>
    <row r="51" spans="1:8" ht="15.75">
      <c r="A51" s="116" t="s">
        <v>33</v>
      </c>
      <c r="B51" s="116"/>
      <c r="C51" s="116"/>
      <c r="D51" s="116"/>
      <c r="E51" s="116"/>
      <c r="F51" s="116"/>
      <c r="G51" s="116"/>
      <c r="H51" s="116"/>
    </row>
    <row r="52" spans="1:8" ht="15.75">
      <c r="A52" s="1"/>
      <c r="B52" s="1"/>
      <c r="C52" s="114" t="s">
        <v>3</v>
      </c>
      <c r="D52" s="114"/>
      <c r="E52" s="3"/>
      <c r="F52" s="1"/>
      <c r="G52" s="115" t="s">
        <v>4</v>
      </c>
      <c r="H52" s="115"/>
    </row>
    <row r="53" spans="1:8" ht="12.75">
      <c r="A53" s="32"/>
      <c r="B53" s="5" t="s">
        <v>5</v>
      </c>
      <c r="C53" s="6" t="s">
        <v>6</v>
      </c>
      <c r="D53" s="6" t="s">
        <v>7</v>
      </c>
      <c r="E53" s="6"/>
      <c r="F53" s="5" t="s">
        <v>5</v>
      </c>
      <c r="G53" s="6" t="s">
        <v>6</v>
      </c>
      <c r="H53" s="7" t="s">
        <v>8</v>
      </c>
    </row>
    <row r="54" spans="1:8" ht="12.75">
      <c r="A54" s="33"/>
      <c r="B54" s="9" t="s">
        <v>9</v>
      </c>
      <c r="C54" s="10" t="s">
        <v>10</v>
      </c>
      <c r="D54" s="10" t="s">
        <v>10</v>
      </c>
      <c r="E54" s="10"/>
      <c r="F54" s="9" t="s">
        <v>9</v>
      </c>
      <c r="G54" s="10" t="s">
        <v>10</v>
      </c>
      <c r="H54" s="11" t="s">
        <v>10</v>
      </c>
    </row>
    <row r="55" spans="1:8" ht="12.75">
      <c r="A55" s="12"/>
      <c r="B55" s="13"/>
      <c r="C55" s="13"/>
      <c r="D55" s="13"/>
      <c r="E55" s="13"/>
      <c r="F55" s="13"/>
      <c r="G55" s="13"/>
      <c r="H55" s="14"/>
    </row>
    <row r="56" spans="1:8" ht="12.75">
      <c r="A56" s="12" t="s">
        <v>11</v>
      </c>
      <c r="B56" s="15">
        <f>(C56-D56)/D56*100</f>
        <v>16.114780805190847</v>
      </c>
      <c r="C56" s="37">
        <v>16976918</v>
      </c>
      <c r="D56" s="37">
        <v>14620807</v>
      </c>
      <c r="E56" s="37"/>
      <c r="F56" s="15">
        <f>(G56-H56)/H56*100</f>
        <v>15.217184457651356</v>
      </c>
      <c r="G56" s="37">
        <f>+C56</f>
        <v>16976918</v>
      </c>
      <c r="H56" s="38">
        <v>14734710</v>
      </c>
    </row>
    <row r="57" spans="1:8" ht="12.75">
      <c r="A57" s="12" t="s">
        <v>12</v>
      </c>
      <c r="B57" s="15">
        <f>(C57-D57)/D57*100</f>
        <v>-17.581629135837172</v>
      </c>
      <c r="C57" s="37">
        <v>1231417</v>
      </c>
      <c r="D57" s="37">
        <v>1494105</v>
      </c>
      <c r="E57" s="37"/>
      <c r="F57" s="15">
        <f>(G57-H57)/H57*100</f>
        <v>-5.0939798629993405</v>
      </c>
      <c r="G57" s="37">
        <f>+C57</f>
        <v>1231417</v>
      </c>
      <c r="H57" s="38">
        <v>1297512</v>
      </c>
    </row>
    <row r="58" spans="1:8" ht="12.75">
      <c r="A58" s="12" t="s">
        <v>13</v>
      </c>
      <c r="B58" s="15">
        <f>(C58-D58)/D58*100</f>
        <v>-6.429396168838887</v>
      </c>
      <c r="C58" s="55">
        <v>1542983</v>
      </c>
      <c r="D58" s="55">
        <v>1649004</v>
      </c>
      <c r="E58" s="55"/>
      <c r="F58" s="56">
        <f>(G58-H58)/H58*100</f>
        <v>9.497582936639729</v>
      </c>
      <c r="G58" s="55">
        <f>+C58</f>
        <v>1542983</v>
      </c>
      <c r="H58" s="65">
        <v>1409148</v>
      </c>
    </row>
    <row r="59" spans="1:8" ht="12.75">
      <c r="A59" s="12" t="s">
        <v>14</v>
      </c>
      <c r="B59" s="15">
        <f>(C59-D59)/D59*100</f>
        <v>-27.465297114452486</v>
      </c>
      <c r="C59" s="55">
        <v>35167</v>
      </c>
      <c r="D59" s="55">
        <v>48483</v>
      </c>
      <c r="E59" s="55"/>
      <c r="F59" s="56">
        <f>(G59-H59)/H59*100</f>
        <v>-17.328036108890874</v>
      </c>
      <c r="G59" s="55">
        <f>SUM(C59)</f>
        <v>35167</v>
      </c>
      <c r="H59" s="65">
        <v>42538</v>
      </c>
    </row>
    <row r="60" spans="1:8" ht="12.75">
      <c r="A60" s="12" t="s">
        <v>15</v>
      </c>
      <c r="B60" s="19" t="s">
        <v>19</v>
      </c>
      <c r="C60" s="55">
        <v>216412</v>
      </c>
      <c r="D60" s="55">
        <v>97029</v>
      </c>
      <c r="E60" s="55"/>
      <c r="F60" s="57" t="s">
        <v>19</v>
      </c>
      <c r="G60" s="55">
        <f>SUM(C60)</f>
        <v>216412</v>
      </c>
      <c r="H60" s="65">
        <v>106213</v>
      </c>
    </row>
    <row r="61" spans="1:8" ht="12.75">
      <c r="A61" s="12" t="s">
        <v>16</v>
      </c>
      <c r="B61" s="15">
        <f>(C61-D61)/D61*100</f>
        <v>34.38736689162062</v>
      </c>
      <c r="C61" s="55">
        <v>70294</v>
      </c>
      <c r="D61" s="55">
        <v>52307</v>
      </c>
      <c r="E61" s="55"/>
      <c r="F61" s="56">
        <f>(G61-H61)/H61*100</f>
        <v>7.578586514033852</v>
      </c>
      <c r="G61" s="55">
        <f>SUM(C61)</f>
        <v>70294</v>
      </c>
      <c r="H61" s="65">
        <v>65342</v>
      </c>
    </row>
    <row r="62" spans="1:8" ht="12.75">
      <c r="A62" s="12" t="s">
        <v>17</v>
      </c>
      <c r="B62" s="15">
        <f>(C62-D62)/D62*100</f>
        <v>94.256470714324</v>
      </c>
      <c r="C62" s="55">
        <f>C65+C63+C64</f>
        <v>181251</v>
      </c>
      <c r="D62" s="55">
        <f>D65+D63+D64</f>
        <v>93305</v>
      </c>
      <c r="E62" s="55"/>
      <c r="F62" s="57" t="s">
        <v>19</v>
      </c>
      <c r="G62" s="55">
        <f>G65+G63+G64</f>
        <v>181251</v>
      </c>
      <c r="H62" s="65">
        <f>H65+H63+H64</f>
        <v>83238</v>
      </c>
    </row>
    <row r="63" spans="1:8" ht="12.75">
      <c r="A63" s="12" t="s">
        <v>18</v>
      </c>
      <c r="B63" s="15">
        <f>(C63-D63)/D63*100</f>
        <v>95.79967689822294</v>
      </c>
      <c r="C63" s="55">
        <v>10908</v>
      </c>
      <c r="D63" s="55">
        <v>5571</v>
      </c>
      <c r="E63" s="55"/>
      <c r="F63" s="57" t="s">
        <v>19</v>
      </c>
      <c r="G63" s="55">
        <f>C63</f>
        <v>10908</v>
      </c>
      <c r="H63" s="65">
        <v>1756</v>
      </c>
    </row>
    <row r="64" spans="1:8" ht="12.75">
      <c r="A64" s="12" t="s">
        <v>20</v>
      </c>
      <c r="B64" s="19" t="s">
        <v>34</v>
      </c>
      <c r="C64" s="55">
        <v>-639</v>
      </c>
      <c r="D64" s="55">
        <v>1030</v>
      </c>
      <c r="E64" s="55"/>
      <c r="F64" s="57" t="s">
        <v>34</v>
      </c>
      <c r="G64" s="55">
        <f>SUM(C64)</f>
        <v>-639</v>
      </c>
      <c r="H64" s="65">
        <v>-5114</v>
      </c>
    </row>
    <row r="65" spans="1:8" ht="12.75">
      <c r="A65" s="12" t="s">
        <v>21</v>
      </c>
      <c r="B65" s="15">
        <f>(C65-D65)/D65*100</f>
        <v>97.20197453404687</v>
      </c>
      <c r="C65" s="55">
        <v>170982</v>
      </c>
      <c r="D65" s="55">
        <v>86704</v>
      </c>
      <c r="E65" s="55"/>
      <c r="F65" s="56">
        <f>(G65-H65)/H65*100</f>
        <v>97.44791907247448</v>
      </c>
      <c r="G65" s="55">
        <f>SUM(C65)</f>
        <v>170982</v>
      </c>
      <c r="H65" s="65">
        <v>86596</v>
      </c>
    </row>
    <row r="66" spans="1:8" ht="12.75">
      <c r="A66" s="12" t="s">
        <v>22</v>
      </c>
      <c r="B66" s="15"/>
      <c r="C66" s="58"/>
      <c r="D66" s="58"/>
      <c r="E66" s="58"/>
      <c r="F66" s="56"/>
      <c r="G66" s="55"/>
      <c r="H66" s="65"/>
    </row>
    <row r="67" spans="1:8" ht="12.75">
      <c r="A67" s="12" t="s">
        <v>23</v>
      </c>
      <c r="B67" s="19" t="s">
        <v>19</v>
      </c>
      <c r="C67" s="55">
        <v>127220</v>
      </c>
      <c r="D67" s="55">
        <v>62836</v>
      </c>
      <c r="E67" s="55"/>
      <c r="F67" s="56">
        <f aca="true" t="shared" si="7" ref="F67:F73">(G67-H67)/H67*100</f>
        <v>95.47347233532565</v>
      </c>
      <c r="G67" s="55">
        <f>SUM(C67)</f>
        <v>127220</v>
      </c>
      <c r="H67" s="65">
        <v>65083</v>
      </c>
    </row>
    <row r="68" spans="1:8" ht="12.75">
      <c r="A68" s="22" t="s">
        <v>24</v>
      </c>
      <c r="B68" s="15">
        <f>(C68-D68)/D68*100</f>
        <v>-44.16666666666666</v>
      </c>
      <c r="C68" s="59">
        <v>1.34</v>
      </c>
      <c r="D68" s="59">
        <v>2.4</v>
      </c>
      <c r="E68" s="60"/>
      <c r="F68" s="61">
        <f t="shared" si="7"/>
        <v>-19.27710843373493</v>
      </c>
      <c r="G68" s="59">
        <f>C68</f>
        <v>1.34</v>
      </c>
      <c r="H68" s="66">
        <v>1.66</v>
      </c>
    </row>
    <row r="69" spans="1:8" ht="12.75">
      <c r="A69" s="22" t="s">
        <v>25</v>
      </c>
      <c r="B69" s="15">
        <f>(C69-D69)/D69*100</f>
        <v>-22.27103799946139</v>
      </c>
      <c r="C69" s="49">
        <f>C61/(C59+C60)*100</f>
        <v>27.941123861689572</v>
      </c>
      <c r="D69" s="49">
        <f>D61/(D59+D60)*100</f>
        <v>35.94686348892188</v>
      </c>
      <c r="E69" s="60"/>
      <c r="F69" s="61">
        <f t="shared" si="7"/>
        <v>-36.392058468516645</v>
      </c>
      <c r="G69" s="49">
        <f>G61/(G59+G60)*100</f>
        <v>27.941123861689572</v>
      </c>
      <c r="H69" s="52">
        <f>H61/(H59+H60)*100</f>
        <v>43.927099649750254</v>
      </c>
    </row>
    <row r="70" spans="1:8" ht="12.75">
      <c r="A70" s="12" t="s">
        <v>26</v>
      </c>
      <c r="B70" s="15">
        <f>(C70-D70)/D70*100</f>
        <v>-7.932237911813115</v>
      </c>
      <c r="C70" s="49">
        <f>(C58-10302)/(858109)</f>
        <v>1.7861145845108255</v>
      </c>
      <c r="D70" s="49">
        <v>1.94</v>
      </c>
      <c r="E70" s="49"/>
      <c r="F70" s="56">
        <f t="shared" si="7"/>
        <v>9.577581871829793</v>
      </c>
      <c r="G70" s="49">
        <f>C70</f>
        <v>1.7861145845108255</v>
      </c>
      <c r="H70" s="52">
        <v>1.63</v>
      </c>
    </row>
    <row r="71" spans="1:8" ht="12.75">
      <c r="A71" s="12" t="s">
        <v>27</v>
      </c>
      <c r="B71" s="19" t="s">
        <v>19</v>
      </c>
      <c r="C71" s="49">
        <f>C67/856187*100*4</f>
        <v>59.43561394882193</v>
      </c>
      <c r="D71" s="49">
        <f>D67/850733*100*4</f>
        <v>29.544404648697064</v>
      </c>
      <c r="E71" s="49"/>
      <c r="F71" s="56">
        <f t="shared" si="7"/>
        <v>95.26685451414471</v>
      </c>
      <c r="G71" s="49">
        <f>G67/856187*100*4</f>
        <v>59.43561394882193</v>
      </c>
      <c r="H71" s="52">
        <f>H67/855282*100*4</f>
        <v>30.43814788572658</v>
      </c>
    </row>
    <row r="72" spans="1:8" ht="12.75">
      <c r="A72" s="12" t="s">
        <v>28</v>
      </c>
      <c r="B72" s="19" t="s">
        <v>19</v>
      </c>
      <c r="C72" s="23">
        <f>SUM(C67)/((C58+1409148)/2)*100*4</f>
        <v>34.47543486383226</v>
      </c>
      <c r="D72" s="23">
        <f>SUM(D67)/((D58+1584601)/2)*100*4</f>
        <v>15.545745383248727</v>
      </c>
      <c r="E72" s="40"/>
      <c r="F72" s="15">
        <f t="shared" si="7"/>
        <v>98.24861911346902</v>
      </c>
      <c r="G72" s="39">
        <f>C72</f>
        <v>34.47543486383226</v>
      </c>
      <c r="H72" s="41">
        <v>17.39</v>
      </c>
    </row>
    <row r="73" spans="1:8" ht="12.75">
      <c r="A73" s="46" t="s">
        <v>29</v>
      </c>
      <c r="B73" s="28">
        <f>(C73-D73)/D73*100</f>
        <v>9.350393700787395</v>
      </c>
      <c r="C73" s="30">
        <v>22.22</v>
      </c>
      <c r="D73" s="30">
        <v>20.32</v>
      </c>
      <c r="E73" s="30"/>
      <c r="F73" s="28">
        <f t="shared" si="7"/>
        <v>-11.297405189620765</v>
      </c>
      <c r="G73" s="30">
        <f>C73</f>
        <v>22.22</v>
      </c>
      <c r="H73" s="47">
        <v>25.05</v>
      </c>
    </row>
    <row r="75" spans="1:8" ht="15.75">
      <c r="A75" s="116" t="s">
        <v>35</v>
      </c>
      <c r="B75" s="116"/>
      <c r="C75" s="116"/>
      <c r="D75" s="116"/>
      <c r="E75" s="116"/>
      <c r="F75" s="116"/>
      <c r="G75" s="116"/>
      <c r="H75" s="116"/>
    </row>
    <row r="77" spans="1:8" ht="15.75">
      <c r="A77" s="1"/>
      <c r="B77" s="1"/>
      <c r="C77" s="114" t="s">
        <v>36</v>
      </c>
      <c r="D77" s="114"/>
      <c r="E77" s="3"/>
      <c r="F77" s="1"/>
      <c r="G77" s="115" t="s">
        <v>4</v>
      </c>
      <c r="H77" s="115"/>
    </row>
    <row r="78" spans="1:8" ht="12.75">
      <c r="A78" s="32"/>
      <c r="B78" s="5" t="s">
        <v>5</v>
      </c>
      <c r="C78" s="6" t="s">
        <v>6</v>
      </c>
      <c r="D78" s="6" t="s">
        <v>37</v>
      </c>
      <c r="E78" s="6"/>
      <c r="F78" s="5" t="s">
        <v>5</v>
      </c>
      <c r="G78" s="6" t="s">
        <v>6</v>
      </c>
      <c r="H78" s="7" t="s">
        <v>8</v>
      </c>
    </row>
    <row r="79" spans="1:8" ht="12.75">
      <c r="A79" s="33"/>
      <c r="B79" s="9" t="s">
        <v>9</v>
      </c>
      <c r="C79" s="10" t="s">
        <v>10</v>
      </c>
      <c r="D79" s="10" t="s">
        <v>10</v>
      </c>
      <c r="E79" s="10"/>
      <c r="F79" s="9" t="s">
        <v>9</v>
      </c>
      <c r="G79" s="10" t="s">
        <v>10</v>
      </c>
      <c r="H79" s="11" t="s">
        <v>10</v>
      </c>
    </row>
    <row r="80" spans="1:8" ht="12.75">
      <c r="A80" s="12"/>
      <c r="B80" s="13"/>
      <c r="C80" s="13"/>
      <c r="D80" s="13"/>
      <c r="E80" s="13"/>
      <c r="F80" s="13"/>
      <c r="G80" s="13"/>
      <c r="H80" s="14"/>
    </row>
    <row r="81" spans="1:8" ht="12.75">
      <c r="A81" s="12" t="s">
        <v>11</v>
      </c>
      <c r="B81" s="15">
        <f aca="true" t="shared" si="8" ref="B81:B89">(C81-D81)/D81*100</f>
        <v>20.174734921345678</v>
      </c>
      <c r="C81" s="37">
        <v>12369678</v>
      </c>
      <c r="D81" s="37">
        <v>10293077</v>
      </c>
      <c r="E81" s="37"/>
      <c r="F81" s="15">
        <f aca="true" t="shared" si="9" ref="F81:F89">(G81-H81)/H81*100</f>
        <v>-0.9695866241254455</v>
      </c>
      <c r="G81" s="37">
        <f>+C81</f>
        <v>12369678</v>
      </c>
      <c r="H81" s="38">
        <v>12490787</v>
      </c>
    </row>
    <row r="82" spans="1:8" ht="12.75">
      <c r="A82" s="12" t="s">
        <v>12</v>
      </c>
      <c r="B82" s="15">
        <f t="shared" si="8"/>
        <v>45.473900885802095</v>
      </c>
      <c r="C82" s="37">
        <v>8767664</v>
      </c>
      <c r="D82" s="37">
        <v>6026967</v>
      </c>
      <c r="E82" s="37"/>
      <c r="F82" s="15">
        <f t="shared" si="9"/>
        <v>4.6590084086135946</v>
      </c>
      <c r="G82" s="37">
        <f>+C82</f>
        <v>8767664</v>
      </c>
      <c r="H82" s="38">
        <v>8377362</v>
      </c>
    </row>
    <row r="83" spans="1:8" ht="12.75">
      <c r="A83" s="12" t="s">
        <v>13</v>
      </c>
      <c r="B83" s="15">
        <f t="shared" si="8"/>
        <v>8.519610766868794</v>
      </c>
      <c r="C83" s="37">
        <v>982504</v>
      </c>
      <c r="D83" s="37">
        <v>905370</v>
      </c>
      <c r="E83" s="37"/>
      <c r="F83" s="15">
        <f t="shared" si="9"/>
        <v>7.402723044212575</v>
      </c>
      <c r="G83" s="37">
        <f>+C83</f>
        <v>982504</v>
      </c>
      <c r="H83" s="38">
        <v>914785</v>
      </c>
    </row>
    <row r="84" spans="1:8" ht="12.75">
      <c r="A84" s="12" t="s">
        <v>14</v>
      </c>
      <c r="B84" s="15">
        <f t="shared" si="8"/>
        <v>-3.2842295402762858</v>
      </c>
      <c r="C84" s="37">
        <v>141353</v>
      </c>
      <c r="D84" s="37">
        <v>146153</v>
      </c>
      <c r="E84" s="37"/>
      <c r="F84" s="15">
        <f t="shared" si="9"/>
        <v>21.670382261549186</v>
      </c>
      <c r="G84" s="37">
        <f>C84</f>
        <v>141353</v>
      </c>
      <c r="H84" s="38">
        <v>116177</v>
      </c>
    </row>
    <row r="85" spans="1:8" ht="12.75">
      <c r="A85" s="12" t="s">
        <v>15</v>
      </c>
      <c r="B85" s="15">
        <f t="shared" si="8"/>
        <v>-26.06360826775968</v>
      </c>
      <c r="C85" s="37">
        <v>67464</v>
      </c>
      <c r="D85" s="37">
        <v>91246</v>
      </c>
      <c r="E85" s="37"/>
      <c r="F85" s="15">
        <f t="shared" si="9"/>
        <v>-41.98541552008806</v>
      </c>
      <c r="G85" s="37">
        <f>C85</f>
        <v>67464</v>
      </c>
      <c r="H85" s="38">
        <v>116288</v>
      </c>
    </row>
    <row r="86" spans="1:8" ht="12.75">
      <c r="A86" s="12" t="s">
        <v>38</v>
      </c>
      <c r="B86" s="15">
        <f t="shared" si="8"/>
        <v>-1.3171332610366502</v>
      </c>
      <c r="C86" s="37">
        <v>93728</v>
      </c>
      <c r="D86" s="37">
        <v>94979</v>
      </c>
      <c r="E86" s="37"/>
      <c r="F86" s="15">
        <f t="shared" si="9"/>
        <v>-18.65442363437538</v>
      </c>
      <c r="G86" s="37">
        <f>C86</f>
        <v>93728</v>
      </c>
      <c r="H86" s="38">
        <v>115222</v>
      </c>
    </row>
    <row r="87" spans="1:8" ht="12.75">
      <c r="A87" s="12" t="s">
        <v>17</v>
      </c>
      <c r="B87" s="15">
        <f t="shared" si="8"/>
        <v>-19.19182699059121</v>
      </c>
      <c r="C87" s="37">
        <f>C89+C88</f>
        <v>115087</v>
      </c>
      <c r="D87" s="37">
        <f>D89+D88</f>
        <v>142420</v>
      </c>
      <c r="E87" s="37"/>
      <c r="F87" s="15">
        <f t="shared" si="9"/>
        <v>-1.6047672788208338</v>
      </c>
      <c r="G87" s="37">
        <f>G89+G88</f>
        <v>115087</v>
      </c>
      <c r="H87" s="38">
        <f>H89+H88</f>
        <v>116964</v>
      </c>
    </row>
    <row r="88" spans="1:8" ht="12.75">
      <c r="A88" s="12" t="s">
        <v>20</v>
      </c>
      <c r="B88" s="15">
        <f t="shared" si="8"/>
        <v>-51.14256327698775</v>
      </c>
      <c r="C88" s="37">
        <v>21851</v>
      </c>
      <c r="D88" s="37">
        <v>44724</v>
      </c>
      <c r="E88" s="37"/>
      <c r="F88" s="15">
        <f t="shared" si="9"/>
        <v>-65.8300494151498</v>
      </c>
      <c r="G88" s="37">
        <f>C88</f>
        <v>21851</v>
      </c>
      <c r="H88" s="38">
        <v>63948</v>
      </c>
    </row>
    <row r="89" spans="1:8" ht="12.75">
      <c r="A89" s="12" t="s">
        <v>21</v>
      </c>
      <c r="B89" s="15">
        <f t="shared" si="8"/>
        <v>-4.565181788404848</v>
      </c>
      <c r="C89" s="37">
        <v>93236</v>
      </c>
      <c r="D89" s="37">
        <v>97696</v>
      </c>
      <c r="E89" s="37"/>
      <c r="F89" s="15">
        <f t="shared" si="9"/>
        <v>75.8638901463709</v>
      </c>
      <c r="G89" s="37">
        <f>C89</f>
        <v>93236</v>
      </c>
      <c r="H89" s="38">
        <v>53016</v>
      </c>
    </row>
    <row r="90" spans="1:8" ht="12.75">
      <c r="A90" s="12" t="s">
        <v>22</v>
      </c>
      <c r="B90" s="19"/>
      <c r="C90" s="13"/>
      <c r="D90" s="13"/>
      <c r="E90" s="13"/>
      <c r="F90" s="15"/>
      <c r="G90" s="37"/>
      <c r="H90" s="38"/>
    </row>
    <row r="91" spans="1:8" ht="12.75">
      <c r="A91" s="12" t="s">
        <v>23</v>
      </c>
      <c r="B91" s="15">
        <f aca="true" t="shared" si="10" ref="B91:B97">(C91-D91)/D91*100</f>
        <v>-14.550652767938468</v>
      </c>
      <c r="C91" s="37">
        <v>67546</v>
      </c>
      <c r="D91" s="37">
        <v>79048</v>
      </c>
      <c r="E91" s="37"/>
      <c r="F91" s="15">
        <f aca="true" t="shared" si="11" ref="F91:F97">(G91-H91)/H91*100</f>
        <v>-2.7107218989456703</v>
      </c>
      <c r="G91" s="37">
        <f>C91</f>
        <v>67546</v>
      </c>
      <c r="H91" s="38">
        <v>69428</v>
      </c>
    </row>
    <row r="92" spans="1:8" ht="12.75">
      <c r="A92" s="22" t="s">
        <v>39</v>
      </c>
      <c r="B92" s="56">
        <f t="shared" si="10"/>
        <v>-1.3636363636363749</v>
      </c>
      <c r="C92" s="59">
        <v>2.17</v>
      </c>
      <c r="D92" s="59">
        <v>2.2</v>
      </c>
      <c r="E92" s="60"/>
      <c r="F92" s="56">
        <f t="shared" si="11"/>
        <v>14.814814814814817</v>
      </c>
      <c r="G92" s="59">
        <f>C92</f>
        <v>2.17</v>
      </c>
      <c r="H92" s="66">
        <v>1.89</v>
      </c>
    </row>
    <row r="93" spans="1:8" ht="12.75">
      <c r="A93" s="22" t="s">
        <v>40</v>
      </c>
      <c r="B93" s="56">
        <f t="shared" si="10"/>
        <v>20.34205752785694</v>
      </c>
      <c r="C93" s="49">
        <v>46.44</v>
      </c>
      <c r="D93" s="49">
        <v>38.59</v>
      </c>
      <c r="E93" s="60"/>
      <c r="F93" s="61">
        <f t="shared" si="11"/>
        <v>-23.03612860457409</v>
      </c>
      <c r="G93" s="49">
        <f>+C93</f>
        <v>46.44</v>
      </c>
      <c r="H93" s="52">
        <v>60.34</v>
      </c>
    </row>
    <row r="94" spans="1:8" ht="12.75">
      <c r="A94" s="22" t="s">
        <v>41</v>
      </c>
      <c r="B94" s="56">
        <f t="shared" si="10"/>
        <v>30.91227213541668</v>
      </c>
      <c r="C94" s="49">
        <v>321.73</v>
      </c>
      <c r="D94" s="49">
        <v>245.76</v>
      </c>
      <c r="E94" s="49"/>
      <c r="F94" s="56">
        <f t="shared" si="11"/>
        <v>6.9936814100432425</v>
      </c>
      <c r="G94" s="49">
        <f>C94</f>
        <v>321.73</v>
      </c>
      <c r="H94" s="52">
        <v>300.7</v>
      </c>
    </row>
    <row r="95" spans="1:8" ht="12.75">
      <c r="A95" s="22" t="s">
        <v>42</v>
      </c>
      <c r="B95" s="56">
        <f t="shared" si="10"/>
        <v>-6.991150442477884</v>
      </c>
      <c r="C95" s="49">
        <v>84.08</v>
      </c>
      <c r="D95" s="49">
        <v>90.4</v>
      </c>
      <c r="E95" s="49"/>
      <c r="F95" s="56">
        <f t="shared" si="11"/>
        <v>-26.83605986773408</v>
      </c>
      <c r="G95" s="49">
        <f>C95</f>
        <v>84.08</v>
      </c>
      <c r="H95" s="52">
        <v>114.92</v>
      </c>
    </row>
    <row r="96" spans="1:8" ht="12.75">
      <c r="A96" s="22" t="s">
        <v>43</v>
      </c>
      <c r="B96" s="56">
        <f t="shared" si="10"/>
        <v>-34.31750106974754</v>
      </c>
      <c r="C96" s="49">
        <v>30.7</v>
      </c>
      <c r="D96" s="49">
        <v>46.74</v>
      </c>
      <c r="E96" s="60"/>
      <c r="F96" s="56">
        <f t="shared" si="11"/>
        <v>-26.677812276092666</v>
      </c>
      <c r="G96" s="49">
        <f>C96</f>
        <v>30.7</v>
      </c>
      <c r="H96" s="52">
        <v>41.87</v>
      </c>
    </row>
    <row r="97" spans="1:8" ht="12.75">
      <c r="A97" s="27" t="s">
        <v>44</v>
      </c>
      <c r="B97" s="64">
        <f t="shared" si="10"/>
        <v>-12.912692589875284</v>
      </c>
      <c r="C97" s="29">
        <v>11.87</v>
      </c>
      <c r="D97" s="29">
        <v>13.63</v>
      </c>
      <c r="E97" s="46"/>
      <c r="F97" s="64">
        <f t="shared" si="11"/>
        <v>13.806327900287627</v>
      </c>
      <c r="G97" s="29">
        <f>C97</f>
        <v>11.87</v>
      </c>
      <c r="H97" s="54">
        <v>10.43</v>
      </c>
    </row>
    <row r="99" ht="12.75">
      <c r="A99" s="48" t="s">
        <v>45</v>
      </c>
    </row>
    <row r="100" spans="3:4" ht="12.75">
      <c r="C100" s="44"/>
      <c r="D100" s="44"/>
    </row>
  </sheetData>
  <mergeCells count="14">
    <mergeCell ref="A1:H1"/>
    <mergeCell ref="A2:H2"/>
    <mergeCell ref="A4:H4"/>
    <mergeCell ref="C5:D5"/>
    <mergeCell ref="G5:H5"/>
    <mergeCell ref="A28:H28"/>
    <mergeCell ref="C29:D29"/>
    <mergeCell ref="G29:H29"/>
    <mergeCell ref="A51:H51"/>
    <mergeCell ref="C52:D52"/>
    <mergeCell ref="G52:H52"/>
    <mergeCell ref="A75:H75"/>
    <mergeCell ref="C77:D77"/>
    <mergeCell ref="G77:H77"/>
  </mergeCells>
  <printOptions/>
  <pageMargins left="0.58" right="0.56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75" zoomScaleNormal="75" workbookViewId="0" topLeftCell="A46">
      <selection activeCell="F19" sqref="F19"/>
    </sheetView>
  </sheetViews>
  <sheetFormatPr defaultColWidth="9.140625" defaultRowHeight="12.75"/>
  <cols>
    <col min="1" max="1" width="39.28125" style="0" customWidth="1"/>
    <col min="2" max="2" width="9.57421875" style="0" bestFit="1" customWidth="1"/>
    <col min="3" max="3" width="15.00390625" style="94" bestFit="1" customWidth="1"/>
    <col min="4" max="4" width="14.421875" style="94" customWidth="1"/>
    <col min="5" max="5" width="5.28125" style="94" customWidth="1"/>
    <col min="6" max="6" width="8.57421875" style="94" bestFit="1" customWidth="1"/>
    <col min="7" max="7" width="12.421875" style="94" customWidth="1"/>
    <col min="8" max="8" width="13.7109375" style="0" bestFit="1" customWidth="1"/>
    <col min="10" max="10" width="17.28125" style="0" customWidth="1"/>
    <col min="11" max="11" width="10.8515625" style="0" bestFit="1" customWidth="1"/>
  </cols>
  <sheetData>
    <row r="1" spans="1:8" ht="18">
      <c r="A1" s="116" t="s">
        <v>0</v>
      </c>
      <c r="B1" s="117"/>
      <c r="C1" s="117"/>
      <c r="D1" s="117"/>
      <c r="E1" s="117"/>
      <c r="F1" s="117"/>
      <c r="G1" s="117"/>
      <c r="H1" s="117"/>
    </row>
    <row r="2" spans="1:8" ht="15.75">
      <c r="A2" s="116" t="s">
        <v>1</v>
      </c>
      <c r="B2" s="116"/>
      <c r="C2" s="116"/>
      <c r="D2" s="116"/>
      <c r="E2" s="116"/>
      <c r="F2" s="116"/>
      <c r="G2" s="116"/>
      <c r="H2" s="116"/>
    </row>
    <row r="4" spans="1:8" ht="15.75">
      <c r="A4" s="116" t="s">
        <v>59</v>
      </c>
      <c r="B4" s="116"/>
      <c r="C4" s="116"/>
      <c r="D4" s="116"/>
      <c r="E4" s="116"/>
      <c r="F4" s="116"/>
      <c r="G4" s="116"/>
      <c r="H4" s="116"/>
    </row>
    <row r="5" spans="1:8" ht="15.75">
      <c r="A5" s="2"/>
      <c r="B5" s="2"/>
      <c r="C5" s="114" t="s">
        <v>54</v>
      </c>
      <c r="D5" s="114"/>
      <c r="E5" s="85"/>
      <c r="F5" s="86"/>
      <c r="G5" s="114" t="s">
        <v>4</v>
      </c>
      <c r="H5" s="114"/>
    </row>
    <row r="6" spans="1:8" ht="12.75">
      <c r="A6" s="4"/>
      <c r="B6" s="5" t="s">
        <v>5</v>
      </c>
      <c r="C6" s="67" t="s">
        <v>56</v>
      </c>
      <c r="D6" s="67" t="s">
        <v>55</v>
      </c>
      <c r="E6" s="6"/>
      <c r="F6" s="5" t="s">
        <v>5</v>
      </c>
      <c r="G6" s="67" t="s">
        <v>56</v>
      </c>
      <c r="H6" s="67" t="s">
        <v>46</v>
      </c>
    </row>
    <row r="7" spans="1:8" ht="12.75">
      <c r="A7" s="8"/>
      <c r="B7" s="9" t="s">
        <v>9</v>
      </c>
      <c r="C7" s="10" t="s">
        <v>10</v>
      </c>
      <c r="D7" s="10" t="s">
        <v>10</v>
      </c>
      <c r="E7" s="10"/>
      <c r="F7" s="9" t="s">
        <v>9</v>
      </c>
      <c r="G7" s="10" t="s">
        <v>10</v>
      </c>
      <c r="H7" s="11" t="s">
        <v>10</v>
      </c>
    </row>
    <row r="8" spans="1:8" ht="12.75">
      <c r="A8" s="12"/>
      <c r="B8" s="13"/>
      <c r="C8" s="68"/>
      <c r="D8" s="68"/>
      <c r="E8" s="68"/>
      <c r="F8" s="68"/>
      <c r="G8" s="68"/>
      <c r="H8" s="14"/>
    </row>
    <row r="9" spans="1:8" ht="12.75">
      <c r="A9" s="12" t="s">
        <v>11</v>
      </c>
      <c r="B9" s="15">
        <f aca="true" t="shared" si="0" ref="B9:B19">(C9-D9)/D9*100</f>
        <v>9.036496933445036</v>
      </c>
      <c r="C9" s="71">
        <v>120663353</v>
      </c>
      <c r="D9" s="71">
        <v>110663270</v>
      </c>
      <c r="E9" s="104"/>
      <c r="F9" s="21">
        <f aca="true" t="shared" si="1" ref="F9:F19">(G9-H9)/H9*100</f>
        <v>2.8582565576944154</v>
      </c>
      <c r="G9" s="104">
        <f>+C9</f>
        <v>120663353</v>
      </c>
      <c r="H9" s="18">
        <v>117310323</v>
      </c>
    </row>
    <row r="10" spans="1:8" ht="12.75">
      <c r="A10" s="12" t="s">
        <v>12</v>
      </c>
      <c r="B10" s="15">
        <f t="shared" si="0"/>
        <v>13.551700553040725</v>
      </c>
      <c r="C10" s="71">
        <v>67555412</v>
      </c>
      <c r="D10" s="71">
        <v>59493087</v>
      </c>
      <c r="E10" s="104"/>
      <c r="F10" s="21">
        <f t="shared" si="1"/>
        <v>2.9956056035305196</v>
      </c>
      <c r="G10" s="104">
        <f>+C10</f>
        <v>67555412</v>
      </c>
      <c r="H10" s="18">
        <v>65590577</v>
      </c>
    </row>
    <row r="11" spans="1:8" ht="12.75">
      <c r="A11" s="12" t="s">
        <v>13</v>
      </c>
      <c r="B11" s="15">
        <f t="shared" si="0"/>
        <v>7.770519386785442</v>
      </c>
      <c r="C11" s="71">
        <v>9375672</v>
      </c>
      <c r="D11" s="71">
        <v>8699663</v>
      </c>
      <c r="E11" s="104"/>
      <c r="F11" s="21">
        <f t="shared" si="1"/>
        <v>3.620889888784901</v>
      </c>
      <c r="G11" s="104">
        <f>+C11</f>
        <v>9375672</v>
      </c>
      <c r="H11" s="18">
        <v>9048052</v>
      </c>
    </row>
    <row r="12" spans="1:11" ht="12.75">
      <c r="A12" s="12" t="s">
        <v>14</v>
      </c>
      <c r="B12" s="15">
        <f t="shared" si="0"/>
        <v>6.477855153741276</v>
      </c>
      <c r="C12" s="71">
        <v>2205446</v>
      </c>
      <c r="D12" s="71">
        <v>2071272</v>
      </c>
      <c r="E12" s="104"/>
      <c r="F12" s="21">
        <f t="shared" si="1"/>
        <v>4.147392709818562</v>
      </c>
      <c r="G12" s="104">
        <v>765500</v>
      </c>
      <c r="H12" s="18">
        <v>735016</v>
      </c>
      <c r="J12" s="31"/>
      <c r="K12" s="31"/>
    </row>
    <row r="13" spans="1:8" ht="12.75">
      <c r="A13" s="12" t="s">
        <v>15</v>
      </c>
      <c r="B13" s="15">
        <f t="shared" si="0"/>
        <v>43.52149205817392</v>
      </c>
      <c r="C13" s="71">
        <v>1207996</v>
      </c>
      <c r="D13" s="71">
        <v>841683</v>
      </c>
      <c r="E13" s="104"/>
      <c r="F13" s="21">
        <f t="shared" si="1"/>
        <v>22.652299507227525</v>
      </c>
      <c r="G13" s="104">
        <v>418654</v>
      </c>
      <c r="H13" s="18">
        <v>341334</v>
      </c>
    </row>
    <row r="14" spans="1:11" ht="12.75">
      <c r="A14" s="12" t="s">
        <v>16</v>
      </c>
      <c r="B14" s="15">
        <f t="shared" si="0"/>
        <v>13.46877448574553</v>
      </c>
      <c r="C14" s="71">
        <v>1581378</v>
      </c>
      <c r="D14" s="71">
        <v>1393668</v>
      </c>
      <c r="E14" s="104"/>
      <c r="F14" s="21">
        <f t="shared" si="1"/>
        <v>27.40375558034533</v>
      </c>
      <c r="G14" s="104">
        <v>601877</v>
      </c>
      <c r="H14" s="18">
        <v>472417</v>
      </c>
      <c r="J14" s="31"/>
      <c r="K14" s="31"/>
    </row>
    <row r="15" spans="1:8" ht="12.75">
      <c r="A15" s="69" t="s">
        <v>47</v>
      </c>
      <c r="B15" s="15">
        <f t="shared" si="0"/>
        <v>20.58709118158715</v>
      </c>
      <c r="C15" s="71">
        <v>1832064</v>
      </c>
      <c r="D15" s="71">
        <v>1519287</v>
      </c>
      <c r="E15" s="104"/>
      <c r="F15" s="21">
        <f t="shared" si="1"/>
        <v>-3.5858282292903354</v>
      </c>
      <c r="G15" s="104">
        <v>582277</v>
      </c>
      <c r="H15" s="18">
        <v>603933</v>
      </c>
    </row>
    <row r="16" spans="1:11" ht="12.75">
      <c r="A16" s="69" t="s">
        <v>48</v>
      </c>
      <c r="B16" s="15">
        <f t="shared" si="0"/>
        <v>9.976933516415887</v>
      </c>
      <c r="C16" s="71">
        <v>687997</v>
      </c>
      <c r="D16" s="71">
        <v>625583</v>
      </c>
      <c r="E16" s="104"/>
      <c r="F16" s="21">
        <f t="shared" si="1"/>
        <v>-42.79825126427015</v>
      </c>
      <c r="G16" s="104">
        <v>208692</v>
      </c>
      <c r="H16" s="18">
        <v>364835</v>
      </c>
      <c r="J16" s="31"/>
      <c r="K16" s="31"/>
    </row>
    <row r="17" spans="1:8" ht="12.75">
      <c r="A17" s="12" t="s">
        <v>18</v>
      </c>
      <c r="B17" s="15">
        <f t="shared" si="0"/>
        <v>76.4253486464315</v>
      </c>
      <c r="C17" s="71">
        <v>17205</v>
      </c>
      <c r="D17" s="71">
        <v>9752</v>
      </c>
      <c r="E17" s="104"/>
      <c r="F17" s="21">
        <f t="shared" si="1"/>
        <v>-99.39268019817804</v>
      </c>
      <c r="G17" s="104">
        <v>38</v>
      </c>
      <c r="H17" s="18">
        <v>6257</v>
      </c>
    </row>
    <row r="18" spans="1:8" ht="12.75">
      <c r="A18" s="12" t="s">
        <v>49</v>
      </c>
      <c r="B18" s="19" t="s">
        <v>57</v>
      </c>
      <c r="C18" s="71">
        <v>29940</v>
      </c>
      <c r="D18" s="71">
        <v>1679</v>
      </c>
      <c r="E18" s="104"/>
      <c r="F18" s="21">
        <v>-100</v>
      </c>
      <c r="G18" s="104">
        <v>0</v>
      </c>
      <c r="H18" s="18">
        <v>29940</v>
      </c>
    </row>
    <row r="19" spans="1:8" ht="12.75">
      <c r="A19" s="12" t="s">
        <v>21</v>
      </c>
      <c r="B19" s="15">
        <f t="shared" si="0"/>
        <v>24.980960324943787</v>
      </c>
      <c r="C19" s="71">
        <v>1102792</v>
      </c>
      <c r="D19" s="71">
        <v>882368</v>
      </c>
      <c r="E19" s="104"/>
      <c r="F19" s="21">
        <f t="shared" si="1"/>
        <v>82.04118304113447</v>
      </c>
      <c r="G19" s="104">
        <v>374841</v>
      </c>
      <c r="H19" s="18">
        <v>205910</v>
      </c>
    </row>
    <row r="20" spans="1:8" ht="12.75">
      <c r="A20" s="12" t="s">
        <v>22</v>
      </c>
      <c r="B20" s="15"/>
      <c r="C20" s="102"/>
      <c r="D20" s="102"/>
      <c r="E20" s="68"/>
      <c r="F20" s="21"/>
      <c r="G20" s="68"/>
      <c r="H20" s="14"/>
    </row>
    <row r="21" spans="1:8" ht="12.75">
      <c r="A21" s="12" t="s">
        <v>23</v>
      </c>
      <c r="B21" s="15">
        <f aca="true" t="shared" si="2" ref="B21:B27">(C21-D21)/D21*100</f>
        <v>44.96836258888823</v>
      </c>
      <c r="C21" s="71">
        <v>714133</v>
      </c>
      <c r="D21" s="71">
        <v>492613</v>
      </c>
      <c r="E21" s="104"/>
      <c r="F21" s="21">
        <f aca="true" t="shared" si="3" ref="F21:F27">(G21-H21)/H21*100</f>
        <v>63.36651451232982</v>
      </c>
      <c r="G21" s="104">
        <v>245517</v>
      </c>
      <c r="H21" s="18">
        <v>150286</v>
      </c>
    </row>
    <row r="22" spans="1:8" ht="12.75">
      <c r="A22" s="22" t="s">
        <v>24</v>
      </c>
      <c r="B22" s="15">
        <f t="shared" si="2"/>
        <v>4.844290657439435</v>
      </c>
      <c r="C22" s="49">
        <v>6.06</v>
      </c>
      <c r="D22" s="49">
        <v>5.78</v>
      </c>
      <c r="E22" s="49" t="s">
        <v>50</v>
      </c>
      <c r="F22" s="21">
        <f t="shared" si="3"/>
        <v>-3.65659777424484</v>
      </c>
      <c r="G22" s="23">
        <f>C22</f>
        <v>6.06</v>
      </c>
      <c r="H22" s="25">
        <v>6.29</v>
      </c>
    </row>
    <row r="23" spans="1:8" ht="12.75">
      <c r="A23" s="22" t="s">
        <v>25</v>
      </c>
      <c r="B23" s="15">
        <f t="shared" si="2"/>
        <v>-3.1682876163928237</v>
      </c>
      <c r="C23" s="49">
        <f>C14/(C12+C13)*100</f>
        <v>46.32795869975233</v>
      </c>
      <c r="D23" s="49">
        <f>D14/(D12+D13)*100</f>
        <v>47.843787494142546</v>
      </c>
      <c r="E23" s="23"/>
      <c r="F23" s="21">
        <f t="shared" si="3"/>
        <v>15.805066164455525</v>
      </c>
      <c r="G23" s="23">
        <f>G14/(G12+G13)*100</f>
        <v>50.827595059426386</v>
      </c>
      <c r="H23" s="25">
        <f>H14/(H12+H13)*100</f>
        <v>43.89064895247829</v>
      </c>
    </row>
    <row r="24" spans="1:8" ht="12.75">
      <c r="A24" s="12" t="s">
        <v>26</v>
      </c>
      <c r="B24" s="15">
        <f t="shared" si="2"/>
        <v>0.7184569075860769</v>
      </c>
      <c r="C24" s="49">
        <f>(C11-594007)/(2741831)</f>
        <v>3.2028469296612374</v>
      </c>
      <c r="D24" s="49">
        <v>3.18</v>
      </c>
      <c r="E24" s="107"/>
      <c r="F24" s="21">
        <f t="shared" si="3"/>
        <v>0.7566380825788799</v>
      </c>
      <c r="G24" s="23">
        <f>C24</f>
        <v>3.2028469296612374</v>
      </c>
      <c r="H24" s="70">
        <f>(H11-413860)/(2716184)</f>
        <v>3.1787949564536127</v>
      </c>
    </row>
    <row r="25" spans="1:8" ht="12.75">
      <c r="A25" s="22" t="s">
        <v>27</v>
      </c>
      <c r="B25" s="15">
        <f t="shared" si="2"/>
        <v>41.86114407493053</v>
      </c>
      <c r="C25" s="49">
        <f>C21/2713755*100*4/3</f>
        <v>35.08707799095104</v>
      </c>
      <c r="D25" s="49">
        <f>D21/2655589*100*4/3</f>
        <v>24.733395617067753</v>
      </c>
      <c r="E25" s="107"/>
      <c r="F25" s="21">
        <f t="shared" si="3"/>
        <v>62.718203422746896</v>
      </c>
      <c r="G25" s="23">
        <f>G21/2713755*100*4</f>
        <v>36.18852844121891</v>
      </c>
      <c r="H25" s="25">
        <v>22.24</v>
      </c>
    </row>
    <row r="26" spans="1:8" ht="12.75">
      <c r="A26" s="12" t="s">
        <v>28</v>
      </c>
      <c r="B26" s="15">
        <f t="shared" si="2"/>
        <v>32.48426150262211</v>
      </c>
      <c r="C26" s="49">
        <f>C21/((C11+8787739)/2)*100*4/3</f>
        <v>10.484565188040213</v>
      </c>
      <c r="D26" s="49">
        <f>D21/((D11+7899587)/2)*100*4/3</f>
        <v>7.91381939947086</v>
      </c>
      <c r="E26" s="49"/>
      <c r="F26" s="105">
        <f t="shared" si="3"/>
        <v>60.41981372553767</v>
      </c>
      <c r="G26" s="49">
        <f>G21/((G11+8787739)/2)*100*4</f>
        <v>10.813695731490082</v>
      </c>
      <c r="H26" s="52">
        <f>H21/((H11+8787739)/2)*100*4</f>
        <v>6.740872888676481</v>
      </c>
    </row>
    <row r="27" spans="1:8" ht="12.75">
      <c r="A27" s="27" t="s">
        <v>29</v>
      </c>
      <c r="B27" s="28">
        <f t="shared" si="2"/>
        <v>2.1497405485544787</v>
      </c>
      <c r="C27" s="103">
        <v>13.78</v>
      </c>
      <c r="D27" s="103">
        <v>13.49</v>
      </c>
      <c r="E27" s="108"/>
      <c r="F27" s="106">
        <f t="shared" si="3"/>
        <v>5.4322876817138415</v>
      </c>
      <c r="G27" s="103">
        <f>C27</f>
        <v>13.78</v>
      </c>
      <c r="H27" s="54">
        <v>13.07</v>
      </c>
    </row>
    <row r="28" spans="1:8" ht="12.75">
      <c r="A28" s="22" t="s">
        <v>53</v>
      </c>
      <c r="B28" s="15"/>
      <c r="C28" s="93"/>
      <c r="D28" s="93"/>
      <c r="G28" s="93"/>
      <c r="H28" s="31"/>
    </row>
    <row r="29" spans="1:8" ht="15.75">
      <c r="A29" s="116" t="s">
        <v>30</v>
      </c>
      <c r="B29" s="116"/>
      <c r="C29" s="116"/>
      <c r="D29" s="116"/>
      <c r="E29" s="116"/>
      <c r="F29" s="116"/>
      <c r="G29" s="116"/>
      <c r="H29" s="116"/>
    </row>
    <row r="30" spans="1:8" ht="15.75">
      <c r="A30" s="1"/>
      <c r="B30" s="1"/>
      <c r="C30" s="114" t="s">
        <v>54</v>
      </c>
      <c r="D30" s="114"/>
      <c r="E30" s="85"/>
      <c r="F30" s="95"/>
      <c r="G30" s="115" t="s">
        <v>4</v>
      </c>
      <c r="H30" s="115"/>
    </row>
    <row r="31" spans="1:8" ht="12.75">
      <c r="A31" s="32"/>
      <c r="B31" s="5" t="s">
        <v>5</v>
      </c>
      <c r="C31" s="67" t="s">
        <v>56</v>
      </c>
      <c r="D31" s="67" t="s">
        <v>55</v>
      </c>
      <c r="E31" s="87"/>
      <c r="F31" s="5" t="s">
        <v>5</v>
      </c>
      <c r="G31" s="67" t="s">
        <v>56</v>
      </c>
      <c r="H31" s="67" t="s">
        <v>46</v>
      </c>
    </row>
    <row r="32" spans="1:8" ht="12.75">
      <c r="A32" s="33"/>
      <c r="B32" s="9" t="s">
        <v>9</v>
      </c>
      <c r="C32" s="10" t="s">
        <v>10</v>
      </c>
      <c r="D32" s="10" t="s">
        <v>10</v>
      </c>
      <c r="E32" s="10"/>
      <c r="F32" s="9" t="s">
        <v>9</v>
      </c>
      <c r="G32" s="10" t="s">
        <v>10</v>
      </c>
      <c r="H32" s="11" t="s">
        <v>10</v>
      </c>
    </row>
    <row r="33" spans="1:8" ht="12.75">
      <c r="A33" s="12"/>
      <c r="B33" s="13"/>
      <c r="C33" s="34"/>
      <c r="D33" s="34"/>
      <c r="E33" s="34"/>
      <c r="F33" s="35"/>
      <c r="G33" s="34"/>
      <c r="H33" s="36"/>
    </row>
    <row r="34" spans="1:8" ht="12.75">
      <c r="A34" s="12" t="s">
        <v>11</v>
      </c>
      <c r="B34" s="15">
        <f aca="true" t="shared" si="4" ref="B34:B43">(C34-D34)/D34*100</f>
        <v>3.989758282341226</v>
      </c>
      <c r="C34" s="109">
        <v>85905097</v>
      </c>
      <c r="D34" s="109">
        <v>82609190</v>
      </c>
      <c r="E34" s="109"/>
      <c r="F34" s="61">
        <f aca="true" t="shared" si="5" ref="F34:F51">(G34-H34)/H34*100</f>
        <v>1.6334171197307856</v>
      </c>
      <c r="G34" s="109">
        <f>+C34</f>
        <v>85905097</v>
      </c>
      <c r="H34" s="65">
        <v>84524460</v>
      </c>
    </row>
    <row r="35" spans="1:8" ht="12.75">
      <c r="A35" s="12" t="s">
        <v>12</v>
      </c>
      <c r="B35" s="15">
        <f t="shared" si="4"/>
        <v>10.491049592502335</v>
      </c>
      <c r="C35" s="109">
        <v>55773219</v>
      </c>
      <c r="D35" s="109">
        <v>50477590</v>
      </c>
      <c r="E35" s="109"/>
      <c r="F35" s="61">
        <f t="shared" si="5"/>
        <v>2.765350496680661</v>
      </c>
      <c r="G35" s="109">
        <f>+C35</f>
        <v>55773219</v>
      </c>
      <c r="H35" s="65">
        <v>54272397</v>
      </c>
    </row>
    <row r="36" spans="1:8" ht="12.75">
      <c r="A36" s="12" t="s">
        <v>13</v>
      </c>
      <c r="B36" s="15">
        <f t="shared" si="4"/>
        <v>4.211431874062547</v>
      </c>
      <c r="C36" s="109">
        <v>5710379</v>
      </c>
      <c r="D36" s="109">
        <v>5479609</v>
      </c>
      <c r="E36" s="109"/>
      <c r="F36" s="61">
        <f t="shared" si="5"/>
        <v>1.6956399864224851</v>
      </c>
      <c r="G36" s="109">
        <f>+C36</f>
        <v>5710379</v>
      </c>
      <c r="H36" s="65">
        <v>5615166</v>
      </c>
    </row>
    <row r="37" spans="1:11" ht="12.75">
      <c r="A37" s="12" t="s">
        <v>14</v>
      </c>
      <c r="B37" s="15">
        <f t="shared" si="4"/>
        <v>6.690471855253663</v>
      </c>
      <c r="C37" s="109">
        <v>1582081</v>
      </c>
      <c r="D37" s="109">
        <v>1482870</v>
      </c>
      <c r="E37" s="109"/>
      <c r="F37" s="61">
        <f t="shared" si="5"/>
        <v>2.662277453367782</v>
      </c>
      <c r="G37" s="109">
        <v>539210</v>
      </c>
      <c r="H37" s="65">
        <v>525227</v>
      </c>
      <c r="J37" s="31"/>
      <c r="K37" s="31"/>
    </row>
    <row r="38" spans="1:8" ht="12.75">
      <c r="A38" s="12" t="s">
        <v>15</v>
      </c>
      <c r="B38" s="15">
        <f t="shared" si="4"/>
        <v>74.86957939354419</v>
      </c>
      <c r="C38" s="109">
        <v>514872</v>
      </c>
      <c r="D38" s="109">
        <v>294432</v>
      </c>
      <c r="E38" s="109"/>
      <c r="F38" s="61">
        <f t="shared" si="5"/>
        <v>15.395430975332665</v>
      </c>
      <c r="G38" s="109">
        <v>205180</v>
      </c>
      <c r="H38" s="65">
        <v>177806</v>
      </c>
    </row>
    <row r="39" spans="1:11" ht="12.75">
      <c r="A39" s="12" t="s">
        <v>16</v>
      </c>
      <c r="B39" s="15">
        <f t="shared" si="4"/>
        <v>9.268418804379595</v>
      </c>
      <c r="C39" s="109">
        <v>972030</v>
      </c>
      <c r="D39" s="109">
        <v>889580</v>
      </c>
      <c r="E39" s="109"/>
      <c r="F39" s="61">
        <f t="shared" si="5"/>
        <v>11.433907916647915</v>
      </c>
      <c r="G39" s="109">
        <v>346633</v>
      </c>
      <c r="H39" s="65">
        <v>311066</v>
      </c>
      <c r="J39" s="31"/>
      <c r="K39" s="31"/>
    </row>
    <row r="40" spans="1:8" ht="12.75">
      <c r="A40" s="69" t="s">
        <v>47</v>
      </c>
      <c r="B40" s="72">
        <f t="shared" si="4"/>
        <v>26.72018942867249</v>
      </c>
      <c r="C40" s="109">
        <v>1124923</v>
      </c>
      <c r="D40" s="109">
        <v>887722</v>
      </c>
      <c r="E40" s="109"/>
      <c r="F40" s="61">
        <f t="shared" si="5"/>
        <v>1.4771651695168215</v>
      </c>
      <c r="G40" s="109">
        <v>397757</v>
      </c>
      <c r="H40" s="65">
        <v>391967</v>
      </c>
    </row>
    <row r="41" spans="1:8" ht="12.75">
      <c r="A41" s="69" t="s">
        <v>48</v>
      </c>
      <c r="B41" s="72">
        <f t="shared" si="4"/>
        <v>20.478654042146267</v>
      </c>
      <c r="C41" s="109">
        <v>651357</v>
      </c>
      <c r="D41" s="109">
        <v>540641</v>
      </c>
      <c r="E41" s="109"/>
      <c r="F41" s="61">
        <f t="shared" si="5"/>
        <v>-45.253899859699324</v>
      </c>
      <c r="G41" s="109">
        <v>197444</v>
      </c>
      <c r="H41" s="65">
        <v>360654</v>
      </c>
    </row>
    <row r="42" spans="1:8" ht="12.75">
      <c r="A42" s="69" t="s">
        <v>49</v>
      </c>
      <c r="B42" s="113" t="s">
        <v>57</v>
      </c>
      <c r="C42" s="109">
        <v>29940</v>
      </c>
      <c r="D42" s="109">
        <v>1679</v>
      </c>
      <c r="E42" s="109"/>
      <c r="F42" s="110">
        <v>-100</v>
      </c>
      <c r="G42" s="109">
        <v>0</v>
      </c>
      <c r="H42" s="65">
        <v>29940</v>
      </c>
    </row>
    <row r="43" spans="1:8" ht="12.75">
      <c r="A43" s="69" t="s">
        <v>21</v>
      </c>
      <c r="B43" s="72">
        <f t="shared" si="4"/>
        <v>28.194949732887807</v>
      </c>
      <c r="C43" s="109">
        <v>440815</v>
      </c>
      <c r="D43" s="109">
        <v>343863</v>
      </c>
      <c r="E43" s="109"/>
      <c r="F43" s="110" t="s">
        <v>57</v>
      </c>
      <c r="G43" s="109">
        <v>198879</v>
      </c>
      <c r="H43" s="38">
        <v>326</v>
      </c>
    </row>
    <row r="44" spans="1:8" ht="12.75">
      <c r="A44" s="69" t="s">
        <v>22</v>
      </c>
      <c r="B44" s="72"/>
      <c r="C44" s="102" t="s">
        <v>31</v>
      </c>
      <c r="D44" s="102" t="s">
        <v>31</v>
      </c>
      <c r="E44" s="102"/>
      <c r="F44" s="61"/>
      <c r="G44" s="109"/>
      <c r="H44" s="38"/>
    </row>
    <row r="45" spans="1:8" ht="12.75">
      <c r="A45" s="69" t="s">
        <v>23</v>
      </c>
      <c r="B45" s="72">
        <f aca="true" t="shared" si="6" ref="B45:B51">(C45-D45)/D45*100</f>
        <v>42.29384406666375</v>
      </c>
      <c r="C45" s="109">
        <v>357657</v>
      </c>
      <c r="D45" s="109">
        <v>251351</v>
      </c>
      <c r="E45" s="109"/>
      <c r="F45" s="110" t="s">
        <v>57</v>
      </c>
      <c r="G45" s="109">
        <v>151965</v>
      </c>
      <c r="H45" s="38">
        <v>24691</v>
      </c>
    </row>
    <row r="46" spans="1:8" ht="12.75">
      <c r="A46" s="73" t="s">
        <v>24</v>
      </c>
      <c r="B46" s="72">
        <f t="shared" si="6"/>
        <v>2.656249999999999</v>
      </c>
      <c r="C46" s="59">
        <v>6.57</v>
      </c>
      <c r="D46" s="59">
        <v>6.4</v>
      </c>
      <c r="E46" s="59" t="s">
        <v>50</v>
      </c>
      <c r="F46" s="61">
        <f t="shared" si="5"/>
        <v>-3.8067349926793526</v>
      </c>
      <c r="G46" s="59">
        <f>C46</f>
        <v>6.57</v>
      </c>
      <c r="H46" s="41">
        <v>6.83</v>
      </c>
    </row>
    <row r="47" spans="1:8" ht="12.75">
      <c r="A47" s="73" t="s">
        <v>25</v>
      </c>
      <c r="B47" s="72">
        <f t="shared" si="6"/>
        <v>-7.388015240274109</v>
      </c>
      <c r="C47" s="49">
        <f>C39/(C37+C38)*100</f>
        <v>46.35440088547526</v>
      </c>
      <c r="D47" s="49">
        <f>D39/(D37+D38)*100</f>
        <v>50.05227023882266</v>
      </c>
      <c r="E47" s="59"/>
      <c r="F47" s="61">
        <f t="shared" si="5"/>
        <v>5.2428358580377665</v>
      </c>
      <c r="G47" s="49">
        <f>G39/(G37+G38)*100</f>
        <v>46.56604736764331</v>
      </c>
      <c r="H47" s="52">
        <f>H39/(H37+H38)*100</f>
        <v>44.24628715863978</v>
      </c>
    </row>
    <row r="48" spans="1:8" ht="12.75">
      <c r="A48" s="69" t="s">
        <v>26</v>
      </c>
      <c r="B48" s="72">
        <f t="shared" si="6"/>
        <v>4.213058768034132</v>
      </c>
      <c r="C48" s="49">
        <f>(C36-1646)/(2063956)</f>
        <v>2.765917974995591</v>
      </c>
      <c r="D48" s="49">
        <f>(D36-1665)/(2063956)</f>
        <v>2.6540992152933494</v>
      </c>
      <c r="E48" s="49"/>
      <c r="F48" s="61">
        <f t="shared" si="5"/>
        <v>1.6663265164378067</v>
      </c>
      <c r="G48" s="49">
        <f>C48</f>
        <v>2.765917974995591</v>
      </c>
      <c r="H48" s="52">
        <f>(H36)/(2063956)</f>
        <v>2.7205841597398392</v>
      </c>
    </row>
    <row r="49" spans="1:8" ht="12.75">
      <c r="A49" s="69" t="s">
        <v>27</v>
      </c>
      <c r="B49" s="72">
        <f t="shared" si="6"/>
        <v>42.29384406666373</v>
      </c>
      <c r="C49" s="49">
        <f>C45/2063956*100*4/3</f>
        <v>23.104949911722922</v>
      </c>
      <c r="D49" s="49">
        <f>D45/2063956*100*4/3</f>
        <v>16.237490850903153</v>
      </c>
      <c r="E49" s="49"/>
      <c r="F49" s="110" t="s">
        <v>57</v>
      </c>
      <c r="G49" s="49">
        <f>G45/2063956*100*4</f>
        <v>29.45120923120454</v>
      </c>
      <c r="H49" s="52">
        <f>H45/2063956*100*4</f>
        <v>4.785179529020968</v>
      </c>
    </row>
    <row r="50" spans="1:8" ht="12.75">
      <c r="A50" s="69" t="s">
        <v>28</v>
      </c>
      <c r="B50" s="72">
        <f t="shared" si="6"/>
        <v>37.55047021685535</v>
      </c>
      <c r="C50" s="49">
        <f>SUM(C45)/((C36+5485611)/2)*100*4/3</f>
        <v>8.518692853423413</v>
      </c>
      <c r="D50" s="49">
        <f>SUM(D45)/((D36+5343162)/2)*100*4/3</f>
        <v>6.193139754443048</v>
      </c>
      <c r="E50" s="49"/>
      <c r="F50" s="110" t="s">
        <v>57</v>
      </c>
      <c r="G50" s="49">
        <f>SUM(G45)/((G36+5485611)/2)*100*4</f>
        <v>10.858530598901927</v>
      </c>
      <c r="H50" s="52">
        <v>1.78</v>
      </c>
    </row>
    <row r="51" spans="1:8" ht="12.75">
      <c r="A51" s="74" t="s">
        <v>29</v>
      </c>
      <c r="B51" s="75">
        <f t="shared" si="6"/>
        <v>-4.006046863189729</v>
      </c>
      <c r="C51" s="62">
        <v>12.7</v>
      </c>
      <c r="D51" s="62">
        <v>13.23</v>
      </c>
      <c r="E51" s="62"/>
      <c r="F51" s="111">
        <f t="shared" si="5"/>
        <v>-1.5503875968992331</v>
      </c>
      <c r="G51" s="62">
        <f>C51</f>
        <v>12.7</v>
      </c>
      <c r="H51" s="43">
        <v>12.9</v>
      </c>
    </row>
    <row r="52" spans="1:8" ht="12.75">
      <c r="A52" s="22" t="s">
        <v>53</v>
      </c>
      <c r="C52" s="98"/>
      <c r="D52" s="98"/>
      <c r="E52" s="98"/>
      <c r="F52" s="99"/>
      <c r="G52" s="98"/>
      <c r="H52" s="44"/>
    </row>
    <row r="53" spans="1:8" ht="15.75">
      <c r="A53" s="116" t="s">
        <v>33</v>
      </c>
      <c r="B53" s="116"/>
      <c r="C53" s="116"/>
      <c r="D53" s="116"/>
      <c r="E53" s="116"/>
      <c r="F53" s="116"/>
      <c r="G53" s="116"/>
      <c r="H53" s="116"/>
    </row>
    <row r="54" spans="1:8" ht="15.75">
      <c r="A54" s="1"/>
      <c r="B54" s="1"/>
      <c r="C54" s="114" t="s">
        <v>54</v>
      </c>
      <c r="D54" s="114"/>
      <c r="E54" s="85"/>
      <c r="F54" s="95"/>
      <c r="G54" s="115" t="s">
        <v>4</v>
      </c>
      <c r="H54" s="115"/>
    </row>
    <row r="55" spans="1:8" ht="12.75">
      <c r="A55" s="32"/>
      <c r="B55" s="5" t="s">
        <v>5</v>
      </c>
      <c r="C55" s="67" t="s">
        <v>56</v>
      </c>
      <c r="D55" s="67" t="s">
        <v>55</v>
      </c>
      <c r="E55" s="87"/>
      <c r="F55" s="5" t="s">
        <v>5</v>
      </c>
      <c r="G55" s="67" t="s">
        <v>56</v>
      </c>
      <c r="H55" s="7" t="s">
        <v>46</v>
      </c>
    </row>
    <row r="56" spans="1:8" ht="12.75">
      <c r="A56" s="33"/>
      <c r="B56" s="9" t="s">
        <v>9</v>
      </c>
      <c r="C56" s="10" t="s">
        <v>10</v>
      </c>
      <c r="D56" s="10" t="s">
        <v>10</v>
      </c>
      <c r="E56" s="88"/>
      <c r="F56" s="9" t="s">
        <v>9</v>
      </c>
      <c r="G56" s="10" t="s">
        <v>10</v>
      </c>
      <c r="H56" s="11" t="s">
        <v>10</v>
      </c>
    </row>
    <row r="57" spans="1:8" ht="12.75">
      <c r="A57" s="12"/>
      <c r="B57" s="13"/>
      <c r="C57" s="68"/>
      <c r="D57" s="68"/>
      <c r="E57" s="89"/>
      <c r="F57" s="68"/>
      <c r="G57" s="68"/>
      <c r="H57" s="14"/>
    </row>
    <row r="58" spans="1:8" ht="12.75">
      <c r="A58" s="73" t="s">
        <v>11</v>
      </c>
      <c r="B58" s="77">
        <f>(C58-D58)/D58*100</f>
        <v>20.08659434386927</v>
      </c>
      <c r="C58" s="109">
        <v>18092657</v>
      </c>
      <c r="D58" s="109">
        <v>15066342</v>
      </c>
      <c r="E58" s="96"/>
      <c r="F58" s="61">
        <f>(G58-H58)/H58*100</f>
        <v>7.440686189218672</v>
      </c>
      <c r="G58" s="109">
        <f>+C58</f>
        <v>18092657</v>
      </c>
      <c r="H58" s="76">
        <v>16839670</v>
      </c>
    </row>
    <row r="59" spans="1:8" ht="12.75">
      <c r="A59" s="73" t="s">
        <v>12</v>
      </c>
      <c r="B59" s="77">
        <f aca="true" t="shared" si="7" ref="B59:B75">(C59-D59)/D59*100</f>
        <v>3.475421715795847</v>
      </c>
      <c r="C59" s="109">
        <v>1536431</v>
      </c>
      <c r="D59" s="109">
        <v>1484827</v>
      </c>
      <c r="E59" s="96"/>
      <c r="F59" s="61">
        <f aca="true" t="shared" si="8" ref="F59:F67">(G59-H59)/H59*100</f>
        <v>16.784862968300587</v>
      </c>
      <c r="G59" s="109">
        <f>+C59</f>
        <v>1536431</v>
      </c>
      <c r="H59" s="76">
        <v>1315608</v>
      </c>
    </row>
    <row r="60" spans="1:8" ht="12.75">
      <c r="A60" s="73" t="s">
        <v>13</v>
      </c>
      <c r="B60" s="77">
        <f t="shared" si="7"/>
        <v>42.849409876948954</v>
      </c>
      <c r="C60" s="109">
        <v>2068948</v>
      </c>
      <c r="D60" s="109">
        <v>1448342</v>
      </c>
      <c r="E60" s="96"/>
      <c r="F60" s="61">
        <f t="shared" si="8"/>
        <v>3.4019031626084524</v>
      </c>
      <c r="G60" s="109">
        <f>+C60</f>
        <v>2068948</v>
      </c>
      <c r="H60" s="76">
        <v>2000880</v>
      </c>
    </row>
    <row r="61" spans="1:11" ht="12.75">
      <c r="A61" s="73" t="s">
        <v>14</v>
      </c>
      <c r="B61" s="77">
        <f t="shared" si="7"/>
        <v>10.323456015709162</v>
      </c>
      <c r="C61" s="109">
        <v>161807</v>
      </c>
      <c r="D61" s="109">
        <v>146666</v>
      </c>
      <c r="E61" s="96"/>
      <c r="F61" s="61">
        <f t="shared" si="8"/>
        <v>37.79221510787315</v>
      </c>
      <c r="G61" s="109">
        <v>73384</v>
      </c>
      <c r="H61" s="76">
        <v>53257</v>
      </c>
      <c r="J61" s="31"/>
      <c r="K61" s="31"/>
    </row>
    <row r="62" spans="1:8" ht="12.75">
      <c r="A62" s="73" t="s">
        <v>15</v>
      </c>
      <c r="B62" s="77">
        <f t="shared" si="7"/>
        <v>54.946596446325735</v>
      </c>
      <c r="C62" s="109">
        <v>440727</v>
      </c>
      <c r="D62" s="109">
        <v>284438</v>
      </c>
      <c r="E62" s="96"/>
      <c r="F62" s="61">
        <f t="shared" si="8"/>
        <v>-7.108214089157952</v>
      </c>
      <c r="G62" s="109">
        <v>108022</v>
      </c>
      <c r="H62" s="76">
        <v>116288</v>
      </c>
    </row>
    <row r="63" spans="1:8" ht="12.75">
      <c r="A63" s="73" t="s">
        <v>16</v>
      </c>
      <c r="B63" s="77">
        <f t="shared" si="7"/>
        <v>56.775256247880456</v>
      </c>
      <c r="C63" s="109">
        <v>226523</v>
      </c>
      <c r="D63" s="109">
        <v>144489</v>
      </c>
      <c r="E63" s="96"/>
      <c r="F63" s="61">
        <f t="shared" si="8"/>
        <v>38.47809494733628</v>
      </c>
      <c r="G63" s="109">
        <v>90717</v>
      </c>
      <c r="H63" s="76">
        <v>65510</v>
      </c>
    </row>
    <row r="64" spans="1:8" ht="12.75">
      <c r="A64" s="73" t="s">
        <v>47</v>
      </c>
      <c r="B64" s="77">
        <f t="shared" si="7"/>
        <v>31.19027266542226</v>
      </c>
      <c r="C64" s="109">
        <v>376011</v>
      </c>
      <c r="D64" s="109">
        <v>286615</v>
      </c>
      <c r="E64" s="96"/>
      <c r="F64" s="61">
        <f t="shared" si="8"/>
        <v>-12.828375066083531</v>
      </c>
      <c r="G64" s="109">
        <v>90689</v>
      </c>
      <c r="H64" s="76">
        <v>104035</v>
      </c>
    </row>
    <row r="65" spans="1:8" ht="12.75">
      <c r="A65" s="73" t="s">
        <v>18</v>
      </c>
      <c r="B65" s="77">
        <f t="shared" si="7"/>
        <v>80.4245283018868</v>
      </c>
      <c r="C65" s="109">
        <v>17595</v>
      </c>
      <c r="D65" s="109">
        <v>9752</v>
      </c>
      <c r="E65" s="96"/>
      <c r="F65" s="61">
        <f t="shared" si="8"/>
        <v>-91.88109317564329</v>
      </c>
      <c r="G65" s="109">
        <v>508</v>
      </c>
      <c r="H65" s="76">
        <v>6257</v>
      </c>
    </row>
    <row r="66" spans="1:8" ht="12.75">
      <c r="A66" s="73" t="s">
        <v>48</v>
      </c>
      <c r="B66" s="81" t="s">
        <v>57</v>
      </c>
      <c r="C66" s="109">
        <v>-8434</v>
      </c>
      <c r="D66" s="109">
        <v>-107</v>
      </c>
      <c r="E66" s="96"/>
      <c r="F66" s="110" t="s">
        <v>58</v>
      </c>
      <c r="G66" s="109">
        <v>430</v>
      </c>
      <c r="H66" s="76">
        <v>-8304</v>
      </c>
    </row>
    <row r="67" spans="1:8" ht="12.75">
      <c r="A67" s="73" t="s">
        <v>21</v>
      </c>
      <c r="B67" s="77">
        <f t="shared" si="7"/>
        <v>32.19248519663844</v>
      </c>
      <c r="C67" s="109">
        <v>366349</v>
      </c>
      <c r="D67" s="109">
        <v>277133</v>
      </c>
      <c r="E67" s="96"/>
      <c r="F67" s="61">
        <f t="shared" si="8"/>
        <v>-15.537574000812002</v>
      </c>
      <c r="G67" s="109">
        <v>89455</v>
      </c>
      <c r="H67" s="76">
        <v>105911</v>
      </c>
    </row>
    <row r="68" spans="1:8" ht="12.75">
      <c r="A68" s="73" t="s">
        <v>22</v>
      </c>
      <c r="B68" s="77"/>
      <c r="C68" s="102"/>
      <c r="D68" s="102"/>
      <c r="E68" s="90"/>
      <c r="F68" s="61"/>
      <c r="G68" s="109"/>
      <c r="H68" s="76"/>
    </row>
    <row r="69" spans="1:8" ht="12.75">
      <c r="A69" s="73" t="s">
        <v>23</v>
      </c>
      <c r="B69" s="77">
        <f t="shared" si="7"/>
        <v>37.122946597218245</v>
      </c>
      <c r="C69" s="109">
        <v>287481</v>
      </c>
      <c r="D69" s="109">
        <v>209652</v>
      </c>
      <c r="E69" s="96"/>
      <c r="F69" s="61">
        <f aca="true" t="shared" si="9" ref="F69:F75">(G69-H69)/H69*100</f>
        <v>-13.66532567495291</v>
      </c>
      <c r="G69" s="109">
        <v>74253</v>
      </c>
      <c r="H69" s="76">
        <v>86006</v>
      </c>
    </row>
    <row r="70" spans="1:8" ht="12.75">
      <c r="A70" s="73" t="s">
        <v>24</v>
      </c>
      <c r="B70" s="77">
        <f t="shared" si="7"/>
        <v>-53.170731707317074</v>
      </c>
      <c r="C70" s="59">
        <v>0.96</v>
      </c>
      <c r="D70" s="59">
        <v>2.05</v>
      </c>
      <c r="E70" s="59" t="s">
        <v>50</v>
      </c>
      <c r="F70" s="61">
        <f t="shared" si="9"/>
        <v>-15.044247787610615</v>
      </c>
      <c r="G70" s="59">
        <f>C70</f>
        <v>0.96</v>
      </c>
      <c r="H70" s="78">
        <v>1.13</v>
      </c>
    </row>
    <row r="71" spans="1:8" ht="12.75">
      <c r="A71" s="73" t="s">
        <v>25</v>
      </c>
      <c r="B71" s="77">
        <f t="shared" si="7"/>
        <v>12.170334071581435</v>
      </c>
      <c r="C71" s="49">
        <f>C63/(C61+C62)*100</f>
        <v>37.59505687645842</v>
      </c>
      <c r="D71" s="49">
        <f>D63/(D61+D62)*100</f>
        <v>33.516042532660336</v>
      </c>
      <c r="E71" s="97"/>
      <c r="F71" s="61">
        <f t="shared" si="9"/>
        <v>29.42388128202007</v>
      </c>
      <c r="G71" s="49">
        <f>G63/(G61+G62)*100</f>
        <v>50.007717495562446</v>
      </c>
      <c r="H71" s="79">
        <f>H63/(H61+H62)*100</f>
        <v>38.6387094871568</v>
      </c>
    </row>
    <row r="72" spans="1:8" ht="12.75">
      <c r="A72" s="73" t="s">
        <v>26</v>
      </c>
      <c r="B72" s="77">
        <f t="shared" si="7"/>
        <v>17.336906250739432</v>
      </c>
      <c r="C72" s="49">
        <f>(C60-168421)/(956429)</f>
        <v>1.987107249989283</v>
      </c>
      <c r="D72" s="49">
        <f>(D60-0)/(855233)</f>
        <v>1.6935057463872418</v>
      </c>
      <c r="E72" s="91"/>
      <c r="F72" s="61">
        <f t="shared" si="9"/>
        <v>-4.923098086637171</v>
      </c>
      <c r="G72" s="49">
        <f>C72</f>
        <v>1.987107249989283</v>
      </c>
      <c r="H72" s="79">
        <v>2.09</v>
      </c>
    </row>
    <row r="73" spans="1:8" ht="12.75">
      <c r="A73" s="73" t="s">
        <v>27</v>
      </c>
      <c r="B73" s="77">
        <f t="shared" si="7"/>
        <v>32.5333692502296</v>
      </c>
      <c r="C73" s="49">
        <f>C69/882448*100*4/3</f>
        <v>43.43689373198194</v>
      </c>
      <c r="D73" s="49">
        <f>D69/852912*100*4/3</f>
        <v>32.7743073142364</v>
      </c>
      <c r="E73" s="91"/>
      <c r="F73" s="61">
        <f t="shared" si="9"/>
        <v>-22.238490620942194</v>
      </c>
      <c r="G73" s="49">
        <f>G69/953651*100*4</f>
        <v>31.14472694937666</v>
      </c>
      <c r="H73" s="79">
        <f>H69/858952*100*4</f>
        <v>40.051597760992465</v>
      </c>
    </row>
    <row r="74" spans="1:8" ht="12.75">
      <c r="A74" s="73" t="s">
        <v>28</v>
      </c>
      <c r="B74" s="77">
        <f t="shared" si="7"/>
        <v>19.572916049875253</v>
      </c>
      <c r="C74" s="49">
        <f>SUM(C69)/((C60+1409148)/2)*100*4/3</f>
        <v>22.04125475547541</v>
      </c>
      <c r="D74" s="49">
        <f>SUM(D69)/((D60+1584601)/2)*100*4/3</f>
        <v>18.433317078494387</v>
      </c>
      <c r="E74" s="97"/>
      <c r="F74" s="61">
        <f t="shared" si="9"/>
        <v>-15.354936488443188</v>
      </c>
      <c r="G74" s="49">
        <f>SUM(G69)/((G60+1409148)/2)*100*4</f>
        <v>17.078999544578412</v>
      </c>
      <c r="H74" s="79">
        <f>SUM(H69)/((H60+1409148)/2)*100*4</f>
        <v>20.177195025964593</v>
      </c>
    </row>
    <row r="75" spans="1:8" ht="12.75">
      <c r="A75" s="74" t="s">
        <v>29</v>
      </c>
      <c r="B75" s="80">
        <f t="shared" si="7"/>
        <v>-11.148812409112946</v>
      </c>
      <c r="C75" s="103">
        <v>18.33</v>
      </c>
      <c r="D75" s="103">
        <v>20.63</v>
      </c>
      <c r="E75" s="92"/>
      <c r="F75" s="111">
        <f t="shared" si="9"/>
        <v>-11.191860465116289</v>
      </c>
      <c r="G75" s="108">
        <f>C75</f>
        <v>18.33</v>
      </c>
      <c r="H75" s="112">
        <v>20.64</v>
      </c>
    </row>
    <row r="76" ht="12.75">
      <c r="A76" s="22" t="s">
        <v>53</v>
      </c>
    </row>
    <row r="77" spans="1:8" ht="15.75">
      <c r="A77" s="116" t="s">
        <v>51</v>
      </c>
      <c r="B77" s="116"/>
      <c r="C77" s="116"/>
      <c r="D77" s="116"/>
      <c r="E77" s="116"/>
      <c r="F77" s="116"/>
      <c r="G77" s="116"/>
      <c r="H77" s="116"/>
    </row>
    <row r="79" spans="1:8" ht="15.75">
      <c r="A79" s="1"/>
      <c r="B79" s="1"/>
      <c r="C79" s="114" t="s">
        <v>54</v>
      </c>
      <c r="D79" s="114"/>
      <c r="E79" s="85"/>
      <c r="F79" s="95"/>
      <c r="G79" s="115" t="s">
        <v>4</v>
      </c>
      <c r="H79" s="115"/>
    </row>
    <row r="80" spans="1:8" ht="12.75">
      <c r="A80" s="32"/>
      <c r="B80" s="5" t="s">
        <v>5</v>
      </c>
      <c r="C80" s="67" t="s">
        <v>56</v>
      </c>
      <c r="D80" s="67" t="s">
        <v>55</v>
      </c>
      <c r="E80" s="87"/>
      <c r="F80" s="5" t="s">
        <v>5</v>
      </c>
      <c r="G80" s="67" t="s">
        <v>56</v>
      </c>
      <c r="H80" s="67" t="s">
        <v>46</v>
      </c>
    </row>
    <row r="81" spans="1:8" ht="12.75">
      <c r="A81" s="33"/>
      <c r="B81" s="9" t="s">
        <v>9</v>
      </c>
      <c r="C81" s="10" t="s">
        <v>10</v>
      </c>
      <c r="D81" s="10" t="s">
        <v>10</v>
      </c>
      <c r="E81" s="88"/>
      <c r="F81" s="9" t="s">
        <v>9</v>
      </c>
      <c r="G81" s="10" t="s">
        <v>10</v>
      </c>
      <c r="H81" s="11" t="s">
        <v>10</v>
      </c>
    </row>
    <row r="82" spans="1:8" ht="12.75">
      <c r="A82" s="12"/>
      <c r="B82" s="13"/>
      <c r="C82" s="68"/>
      <c r="D82" s="89"/>
      <c r="E82" s="89"/>
      <c r="F82" s="68"/>
      <c r="G82" s="68"/>
      <c r="H82" s="14"/>
    </row>
    <row r="83" spans="1:8" ht="12.75">
      <c r="A83" s="73" t="s">
        <v>11</v>
      </c>
      <c r="B83" s="77">
        <f aca="true" t="shared" si="10" ref="B83:B92">(C83-D83)/D83*100</f>
        <v>25.59156625661269</v>
      </c>
      <c r="C83" s="109">
        <v>14329847</v>
      </c>
      <c r="D83" s="109">
        <v>11409880</v>
      </c>
      <c r="E83" s="96"/>
      <c r="F83" s="61">
        <f aca="true" t="shared" si="11" ref="F83:F92">(G83-H83)/H83*100</f>
        <v>7.565904712105001</v>
      </c>
      <c r="G83" s="109">
        <f>+C83</f>
        <v>14329847</v>
      </c>
      <c r="H83" s="76">
        <v>13321923</v>
      </c>
    </row>
    <row r="84" spans="1:8" ht="12.75">
      <c r="A84" s="73" t="s">
        <v>12</v>
      </c>
      <c r="B84" s="77">
        <f t="shared" si="10"/>
        <v>35.76655006255323</v>
      </c>
      <c r="C84" s="109">
        <v>10230258</v>
      </c>
      <c r="D84" s="109">
        <v>7535183</v>
      </c>
      <c r="E84" s="96"/>
      <c r="F84" s="61">
        <f t="shared" si="11"/>
        <v>2.4604305392888284</v>
      </c>
      <c r="G84" s="109">
        <f>+C84</f>
        <v>10230258</v>
      </c>
      <c r="H84" s="76">
        <v>9984594</v>
      </c>
    </row>
    <row r="85" spans="1:8" ht="12.75">
      <c r="A85" s="73" t="s">
        <v>13</v>
      </c>
      <c r="B85" s="77">
        <f t="shared" si="10"/>
        <v>40.56550983582737</v>
      </c>
      <c r="C85" s="109">
        <v>1364021</v>
      </c>
      <c r="D85" s="109">
        <v>970381</v>
      </c>
      <c r="E85" s="96"/>
      <c r="F85" s="61">
        <f t="shared" si="11"/>
        <v>46.62840483866286</v>
      </c>
      <c r="G85" s="109">
        <f>+C85</f>
        <v>1364021</v>
      </c>
      <c r="H85" s="76">
        <v>930257</v>
      </c>
    </row>
    <row r="86" spans="1:10" ht="12.75">
      <c r="A86" s="73" t="s">
        <v>14</v>
      </c>
      <c r="B86" s="77">
        <f t="shared" si="10"/>
        <v>4.0331144485620785</v>
      </c>
      <c r="C86" s="109">
        <v>432036</v>
      </c>
      <c r="D86" s="109">
        <v>415287</v>
      </c>
      <c r="E86" s="96"/>
      <c r="F86" s="61">
        <f t="shared" si="11"/>
        <v>-0.35234000467039384</v>
      </c>
      <c r="G86" s="109">
        <v>145085</v>
      </c>
      <c r="H86" s="76">
        <v>145598</v>
      </c>
      <c r="J86" s="31"/>
    </row>
    <row r="87" spans="1:8" ht="12.75">
      <c r="A87" s="73" t="s">
        <v>15</v>
      </c>
      <c r="B87" s="77">
        <f t="shared" si="10"/>
        <v>-12.175482640510666</v>
      </c>
      <c r="C87" s="109">
        <v>180511</v>
      </c>
      <c r="D87" s="109">
        <v>205536</v>
      </c>
      <c r="E87" s="96"/>
      <c r="F87" s="61">
        <f t="shared" si="11"/>
        <v>-37.492093611638204</v>
      </c>
      <c r="G87" s="109">
        <v>43483</v>
      </c>
      <c r="H87" s="76">
        <v>69564</v>
      </c>
    </row>
    <row r="88" spans="1:8" ht="12.75">
      <c r="A88" s="73" t="s">
        <v>38</v>
      </c>
      <c r="B88" s="77">
        <f t="shared" si="10"/>
        <v>10.175675354927963</v>
      </c>
      <c r="C88" s="109">
        <v>324929</v>
      </c>
      <c r="D88" s="109">
        <v>294919</v>
      </c>
      <c r="E88" s="96"/>
      <c r="F88" s="61">
        <f t="shared" si="11"/>
        <v>-6.115877128984377</v>
      </c>
      <c r="G88" s="109">
        <v>111954</v>
      </c>
      <c r="H88" s="76">
        <v>119247</v>
      </c>
    </row>
    <row r="89" spans="1:8" ht="12.75">
      <c r="A89" s="73" t="s">
        <v>47</v>
      </c>
      <c r="B89" s="77">
        <f t="shared" si="10"/>
        <v>-11.747631204281015</v>
      </c>
      <c r="C89" s="109">
        <v>287618</v>
      </c>
      <c r="D89" s="109">
        <v>325904</v>
      </c>
      <c r="E89" s="96"/>
      <c r="F89" s="61">
        <f t="shared" si="11"/>
        <v>-20.12302559557942</v>
      </c>
      <c r="G89" s="109">
        <v>76614</v>
      </c>
      <c r="H89" s="76">
        <v>95915</v>
      </c>
    </row>
    <row r="90" spans="1:8" ht="12.75">
      <c r="A90" s="73" t="s">
        <v>48</v>
      </c>
      <c r="B90" s="77">
        <f t="shared" si="10"/>
        <v>-47.00114051899493</v>
      </c>
      <c r="C90" s="109">
        <v>45075</v>
      </c>
      <c r="D90" s="109">
        <v>85049</v>
      </c>
      <c r="E90" s="96"/>
      <c r="F90" s="61">
        <f t="shared" si="11"/>
        <v>-13.969881448253766</v>
      </c>
      <c r="G90" s="109">
        <v>10740</v>
      </c>
      <c r="H90" s="76">
        <v>12484</v>
      </c>
    </row>
    <row r="91" spans="1:8" ht="12.75">
      <c r="A91" s="73" t="s">
        <v>18</v>
      </c>
      <c r="B91" s="61">
        <v>-100</v>
      </c>
      <c r="C91" s="109">
        <v>-392</v>
      </c>
      <c r="D91" s="109">
        <v>0</v>
      </c>
      <c r="E91" s="96"/>
      <c r="F91" s="61">
        <v>-100</v>
      </c>
      <c r="G91" s="109">
        <v>-392</v>
      </c>
      <c r="H91" s="76">
        <v>0</v>
      </c>
    </row>
    <row r="92" spans="1:8" ht="12.75">
      <c r="A92" s="73" t="s">
        <v>21</v>
      </c>
      <c r="B92" s="77">
        <f t="shared" si="10"/>
        <v>0.8627597517178386</v>
      </c>
      <c r="C92" s="109">
        <v>242933</v>
      </c>
      <c r="D92" s="109">
        <v>240855</v>
      </c>
      <c r="E92" s="96"/>
      <c r="F92" s="61">
        <f t="shared" si="11"/>
        <v>-20.57388740396256</v>
      </c>
      <c r="G92" s="109">
        <v>66266</v>
      </c>
      <c r="H92" s="76">
        <v>83431</v>
      </c>
    </row>
    <row r="93" spans="1:8" ht="12.75">
      <c r="A93" s="73" t="s">
        <v>22</v>
      </c>
      <c r="B93" s="81"/>
      <c r="C93" s="102"/>
      <c r="D93" s="102"/>
      <c r="E93" s="90"/>
      <c r="F93" s="61"/>
      <c r="G93" s="109"/>
      <c r="H93" s="76"/>
    </row>
    <row r="94" spans="1:8" ht="12.75">
      <c r="A94" s="73" t="s">
        <v>23</v>
      </c>
      <c r="B94" s="77">
        <f aca="true" t="shared" si="12" ref="B94:B100">(C94-D94)/D94*100</f>
        <v>-7.442735708260334</v>
      </c>
      <c r="C94" s="109">
        <v>171168</v>
      </c>
      <c r="D94" s="109">
        <v>184932</v>
      </c>
      <c r="E94" s="96"/>
      <c r="F94" s="61">
        <f aca="true" t="shared" si="13" ref="F94:F100">(G94-H94)/H94*100</f>
        <v>-16.711695008034468</v>
      </c>
      <c r="G94" s="109">
        <v>47167</v>
      </c>
      <c r="H94" s="76">
        <v>56631</v>
      </c>
    </row>
    <row r="95" spans="1:8" ht="12.75">
      <c r="A95" s="73" t="s">
        <v>39</v>
      </c>
      <c r="B95" s="77">
        <f t="shared" si="12"/>
        <v>27.794561933534755</v>
      </c>
      <c r="C95" s="59">
        <v>4.23</v>
      </c>
      <c r="D95" s="59">
        <v>3.31</v>
      </c>
      <c r="E95" s="97"/>
      <c r="F95" s="61">
        <f t="shared" si="13"/>
        <v>-4.729729729729729</v>
      </c>
      <c r="G95" s="59">
        <f aca="true" t="shared" si="14" ref="G95:G100">+C95</f>
        <v>4.23</v>
      </c>
      <c r="H95" s="78">
        <v>4.44</v>
      </c>
    </row>
    <row r="96" spans="1:8" ht="12.75">
      <c r="A96" s="73" t="s">
        <v>40</v>
      </c>
      <c r="B96" s="77">
        <f t="shared" si="12"/>
        <v>8.631009847460898</v>
      </c>
      <c r="C96" s="49">
        <v>56.26</v>
      </c>
      <c r="D96" s="49">
        <v>51.79</v>
      </c>
      <c r="E96" s="97"/>
      <c r="F96" s="61">
        <f t="shared" si="13"/>
        <v>10.938433950986257</v>
      </c>
      <c r="G96" s="49">
        <v>55.68</v>
      </c>
      <c r="H96" s="79">
        <v>50.19</v>
      </c>
    </row>
    <row r="97" spans="1:8" ht="12.75">
      <c r="A97" s="73" t="s">
        <v>41</v>
      </c>
      <c r="B97" s="77">
        <f t="shared" si="12"/>
        <v>16.352517985611502</v>
      </c>
      <c r="C97" s="49">
        <v>323.46</v>
      </c>
      <c r="D97" s="49">
        <v>278</v>
      </c>
      <c r="E97" s="91"/>
      <c r="F97" s="61">
        <f t="shared" si="13"/>
        <v>2.195823196739436</v>
      </c>
      <c r="G97" s="49">
        <f t="shared" si="14"/>
        <v>323.46</v>
      </c>
      <c r="H97" s="79">
        <v>316.51</v>
      </c>
    </row>
    <row r="98" spans="1:8" ht="12.75">
      <c r="A98" s="73" t="s">
        <v>42</v>
      </c>
      <c r="B98" s="77">
        <f t="shared" si="12"/>
        <v>-5.2517985611510944</v>
      </c>
      <c r="C98" s="49">
        <f>52.68*4/3</f>
        <v>70.24</v>
      </c>
      <c r="D98" s="49">
        <f>55.6*4/3</f>
        <v>74.13333333333334</v>
      </c>
      <c r="E98" s="91"/>
      <c r="F98" s="61">
        <f t="shared" si="13"/>
        <v>-28.102947281029465</v>
      </c>
      <c r="G98" s="49">
        <v>51.96</v>
      </c>
      <c r="H98" s="79">
        <v>72.27</v>
      </c>
    </row>
    <row r="99" spans="1:8" ht="12.75">
      <c r="A99" s="73" t="s">
        <v>43</v>
      </c>
      <c r="B99" s="77">
        <f t="shared" si="12"/>
        <v>-30.56994818652849</v>
      </c>
      <c r="C99" s="49">
        <v>18.76</v>
      </c>
      <c r="D99" s="49">
        <v>27.02</v>
      </c>
      <c r="E99" s="97"/>
      <c r="F99" s="61">
        <f t="shared" si="13"/>
        <v>-28.413610251878037</v>
      </c>
      <c r="G99" s="49">
        <v>16.2</v>
      </c>
      <c r="H99" s="79">
        <v>22.63</v>
      </c>
    </row>
    <row r="100" spans="1:8" ht="12.75">
      <c r="A100" s="74" t="s">
        <v>44</v>
      </c>
      <c r="B100" s="80">
        <f t="shared" si="12"/>
        <v>60.67211625794734</v>
      </c>
      <c r="C100" s="103">
        <v>17.69</v>
      </c>
      <c r="D100" s="103">
        <v>11.01</v>
      </c>
      <c r="E100" s="92"/>
      <c r="F100" s="111">
        <f t="shared" si="13"/>
        <v>71.2487899322362</v>
      </c>
      <c r="G100" s="103">
        <f t="shared" si="14"/>
        <v>17.69</v>
      </c>
      <c r="H100" s="82">
        <v>10.33</v>
      </c>
    </row>
    <row r="101" spans="4:7" ht="12.75">
      <c r="D101" s="100"/>
      <c r="E101" s="100"/>
      <c r="F101" s="100"/>
      <c r="G101" s="100"/>
    </row>
    <row r="102" spans="1:7" ht="12.75">
      <c r="A102" s="84" t="s">
        <v>52</v>
      </c>
      <c r="B102" s="83"/>
      <c r="C102" s="100"/>
      <c r="D102" s="100"/>
      <c r="E102" s="100"/>
      <c r="F102" s="100"/>
      <c r="G102" s="100"/>
    </row>
    <row r="103" spans="3:7" ht="12.75">
      <c r="C103" s="98"/>
      <c r="D103" s="101"/>
      <c r="E103" s="100"/>
      <c r="F103" s="100"/>
      <c r="G103" s="100"/>
    </row>
  </sheetData>
  <mergeCells count="14">
    <mergeCell ref="C54:D54"/>
    <mergeCell ref="G54:H54"/>
    <mergeCell ref="A77:H77"/>
    <mergeCell ref="C79:D79"/>
    <mergeCell ref="G79:H79"/>
    <mergeCell ref="A29:H29"/>
    <mergeCell ref="C30:D30"/>
    <mergeCell ref="G30:H30"/>
    <mergeCell ref="A53:H53"/>
    <mergeCell ref="A1:H1"/>
    <mergeCell ref="A2:H2"/>
    <mergeCell ref="A4:H4"/>
    <mergeCell ref="C5:D5"/>
    <mergeCell ref="G5:H5"/>
  </mergeCells>
  <printOptions/>
  <pageMargins left="0.58" right="0.56" top="1" bottom="1" header="0.5" footer="0.5"/>
  <pageSetup horizontalDpi="600" verticalDpi="600" orientation="portrait" paperSize="9" scale="78" r:id="rId1"/>
  <rowBreaks count="1" manualBreakCount="1">
    <brk id="5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 Asset-Holding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zainuddin</dc:creator>
  <cp:keywords/>
  <dc:description/>
  <cp:lastModifiedBy>Zainuddin Mohd Salleh</cp:lastModifiedBy>
  <cp:lastPrinted>2005-11-17T04:03:47Z</cp:lastPrinted>
  <dcterms:created xsi:type="dcterms:W3CDTF">2005-05-11T02:22:38Z</dcterms:created>
  <dcterms:modified xsi:type="dcterms:W3CDTF">2005-11-17T08:54:23Z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