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7" sheetId="1" r:id="rId1"/>
  </sheets>
  <definedNames>
    <definedName name="_xlnm.Print_Area" localSheetId="0">'Sheet7'!$A$1:$I$74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<sst xmlns="http://schemas.openxmlformats.org/spreadsheetml/2006/main" count="108" uniqueCount="35">
  <si>
    <t>SELECTED FINANCIAL HIGHLIGHTS YEAR-ON-YEAR (Y-O-Y)</t>
  </si>
  <si>
    <t>AND QUARTER-ON-QUARTER (Q-O-Q)</t>
  </si>
  <si>
    <t>CAHB GROUP</t>
  </si>
  <si>
    <t>Q-O-Q</t>
  </si>
  <si>
    <t>Inc/(Dec)</t>
  </si>
  <si>
    <t>%</t>
  </si>
  <si>
    <t>RM '000</t>
  </si>
  <si>
    <t>Total assets</t>
  </si>
  <si>
    <t>Net loans and advances</t>
  </si>
  <si>
    <t>Shareholders' funds</t>
  </si>
  <si>
    <t>Profit before taxation</t>
  </si>
  <si>
    <t>Profit after taxation and</t>
  </si>
  <si>
    <t xml:space="preserve">    minority interest</t>
  </si>
  <si>
    <t>BCB GROUP</t>
  </si>
  <si>
    <t>CIMB GROUP</t>
  </si>
  <si>
    <t>Net Interest Income</t>
  </si>
  <si>
    <t>Non Interest Income</t>
  </si>
  <si>
    <t>Staff Cost and Overheads</t>
  </si>
  <si>
    <t>Loan loss and provisions</t>
  </si>
  <si>
    <t>Provision for other receivables</t>
  </si>
  <si>
    <t>Operating profit</t>
  </si>
  <si>
    <t>Net NPL ratio (%)</t>
  </si>
  <si>
    <t>Cost to income ratio (%)</t>
  </si>
  <si>
    <t>Return on equity (annualised) (%)</t>
  </si>
  <si>
    <t>Earnings per share (annualised) (sen)</t>
  </si>
  <si>
    <t>Risk weighted capital ratio (%)</t>
  </si>
  <si>
    <t>Net tangible assets (NTA) RM per share</t>
  </si>
  <si>
    <t>Y-O-Y (9 Month Ended)</t>
  </si>
  <si>
    <t>30/09/2001</t>
  </si>
  <si>
    <t>-11-</t>
  </si>
  <si>
    <t>&gt;100.0</t>
  </si>
  <si>
    <t>30/06/2002</t>
  </si>
  <si>
    <t>30/09/2002</t>
  </si>
  <si>
    <t>*</t>
  </si>
  <si>
    <t>* Adjusted for 1:1 bonus issue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</si>
</sst>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.00_);_(* \(#,##0.00\);_(* &quot;-&quot;_);_(@_)"/>
    <numFmt numFmtId="172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41" fontId="0" fillId="0" borderId="5" xfId="15" applyNumberFormat="1" applyBorder="1" applyAlignment="1">
      <alignment/>
    </xf>
    <xf numFmtId="43" fontId="0" fillId="0" borderId="5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5" fillId="0" borderId="0" xfId="0" applyNumberFormat="1" applyFont="1" applyBorder="1" applyAlignment="1">
      <alignment/>
    </xf>
    <xf numFmtId="43" fontId="5" fillId="0" borderId="6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70" fontId="0" fillId="0" borderId="6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170" fontId="0" fillId="0" borderId="0" xfId="0" applyNumberFormat="1" applyFont="1" applyBorder="1" applyAlignment="1">
      <alignment horizontal="center"/>
    </xf>
    <xf numFmtId="43" fontId="0" fillId="0" borderId="6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170" fontId="0" fillId="0" borderId="0" xfId="0" applyNumberFormat="1" applyBorder="1" applyAlignment="1">
      <alignment horizontal="right"/>
    </xf>
    <xf numFmtId="41" fontId="0" fillId="0" borderId="0" xfId="0" applyNumberForma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5.421875" style="0" customWidth="1"/>
    <col min="2" max="2" width="8.00390625" style="0" bestFit="1" customWidth="1"/>
    <col min="3" max="3" width="13.421875" style="0" bestFit="1" customWidth="1"/>
    <col min="4" max="4" width="13.57421875" style="0" bestFit="1" customWidth="1"/>
    <col min="5" max="5" width="4.57421875" style="0" customWidth="1"/>
    <col min="6" max="6" width="8.00390625" style="0" bestFit="1" customWidth="1"/>
    <col min="7" max="8" width="13.421875" style="0" bestFit="1" customWidth="1"/>
    <col min="9" max="9" width="2.28125" style="0" customWidth="1"/>
  </cols>
  <sheetData>
    <row r="1" spans="1:8" ht="18">
      <c r="A1" s="56" t="s">
        <v>0</v>
      </c>
      <c r="B1" s="57"/>
      <c r="C1" s="57"/>
      <c r="D1" s="57"/>
      <c r="E1" s="57"/>
      <c r="F1" s="57"/>
      <c r="G1" s="57"/>
      <c r="H1" s="57"/>
    </row>
    <row r="2" spans="1:8" ht="15.75">
      <c r="A2" s="56" t="s">
        <v>1</v>
      </c>
      <c r="B2" s="56"/>
      <c r="C2" s="56"/>
      <c r="D2" s="56"/>
      <c r="E2" s="56"/>
      <c r="F2" s="56"/>
      <c r="G2" s="56"/>
      <c r="H2" s="5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44"/>
      <c r="B5" s="44"/>
      <c r="C5" s="58" t="s">
        <v>27</v>
      </c>
      <c r="D5" s="58"/>
      <c r="E5" s="2"/>
      <c r="F5" s="44"/>
      <c r="G5" s="58" t="s">
        <v>3</v>
      </c>
      <c r="H5" s="58"/>
    </row>
    <row r="6" spans="1:8" ht="12.75">
      <c r="A6" s="3"/>
      <c r="B6" s="4" t="s">
        <v>4</v>
      </c>
      <c r="C6" s="5" t="s">
        <v>32</v>
      </c>
      <c r="D6" s="5" t="s">
        <v>28</v>
      </c>
      <c r="E6" s="5"/>
      <c r="F6" s="4" t="s">
        <v>4</v>
      </c>
      <c r="G6" s="5" t="s">
        <v>32</v>
      </c>
      <c r="H6" s="6" t="s">
        <v>31</v>
      </c>
    </row>
    <row r="7" spans="1:8" ht="12.75">
      <c r="A7" s="7"/>
      <c r="B7" s="8" t="s">
        <v>5</v>
      </c>
      <c r="C7" s="9" t="s">
        <v>6</v>
      </c>
      <c r="D7" s="9" t="s">
        <v>6</v>
      </c>
      <c r="E7" s="9"/>
      <c r="F7" s="8" t="s">
        <v>5</v>
      </c>
      <c r="G7" s="9" t="s">
        <v>6</v>
      </c>
      <c r="H7" s="10" t="s">
        <v>6</v>
      </c>
    </row>
    <row r="8" spans="1:8" ht="12.75">
      <c r="A8" s="11"/>
      <c r="B8" s="12"/>
      <c r="C8" s="12"/>
      <c r="D8" s="12"/>
      <c r="E8" s="12"/>
      <c r="F8" s="12"/>
      <c r="G8" s="12"/>
      <c r="H8" s="13"/>
    </row>
    <row r="9" spans="1:8" ht="12.75">
      <c r="A9" s="11" t="s">
        <v>7</v>
      </c>
      <c r="B9" s="14">
        <f aca="true" t="shared" si="0" ref="B9:B18">(C9-D9)/D9*100</f>
        <v>12.35364507130229</v>
      </c>
      <c r="C9" s="15">
        <v>84324770</v>
      </c>
      <c r="D9" s="15">
        <v>75052990</v>
      </c>
      <c r="E9" s="15"/>
      <c r="F9" s="16">
        <f aca="true" t="shared" si="1" ref="F9:F14">(G9-H9)/H9*100</f>
        <v>6.444670887453953</v>
      </c>
      <c r="G9" s="15">
        <f>+C9</f>
        <v>84324770</v>
      </c>
      <c r="H9" s="17">
        <v>79219344</v>
      </c>
    </row>
    <row r="10" spans="1:8" ht="12.75">
      <c r="A10" s="11" t="s">
        <v>8</v>
      </c>
      <c r="B10" s="14">
        <f t="shared" si="0"/>
        <v>7.2809172343858695</v>
      </c>
      <c r="C10" s="15">
        <v>44562813</v>
      </c>
      <c r="D10" s="15">
        <v>41538434</v>
      </c>
      <c r="E10" s="15"/>
      <c r="F10" s="16">
        <f t="shared" si="1"/>
        <v>1.8682127529625698</v>
      </c>
      <c r="G10" s="15">
        <f>+C10</f>
        <v>44562813</v>
      </c>
      <c r="H10" s="17">
        <v>43745553</v>
      </c>
    </row>
    <row r="11" spans="1:8" ht="12.75">
      <c r="A11" s="11" t="s">
        <v>9</v>
      </c>
      <c r="B11" s="14">
        <f t="shared" si="0"/>
        <v>18.855087810277976</v>
      </c>
      <c r="C11" s="15">
        <v>6724475</v>
      </c>
      <c r="D11" s="15">
        <v>5657709</v>
      </c>
      <c r="E11" s="15"/>
      <c r="F11" s="16">
        <f t="shared" si="1"/>
        <v>2.289843749762319</v>
      </c>
      <c r="G11" s="15">
        <f>+C11</f>
        <v>6724475</v>
      </c>
      <c r="H11" s="17">
        <v>6573942</v>
      </c>
    </row>
    <row r="12" spans="1:8" ht="12.75">
      <c r="A12" s="11" t="s">
        <v>15</v>
      </c>
      <c r="B12" s="14">
        <f t="shared" si="0"/>
        <v>2.4361549262461053</v>
      </c>
      <c r="C12" s="15">
        <v>1498475</v>
      </c>
      <c r="D12" s="15">
        <v>1462838</v>
      </c>
      <c r="E12" s="15"/>
      <c r="F12" s="16">
        <f t="shared" si="1"/>
        <v>12.905555728018708</v>
      </c>
      <c r="G12" s="15">
        <f>C12-952921</f>
        <v>545554</v>
      </c>
      <c r="H12" s="17">
        <v>483195</v>
      </c>
    </row>
    <row r="13" spans="1:8" ht="12.75">
      <c r="A13" s="11" t="s">
        <v>16</v>
      </c>
      <c r="B13" s="14">
        <f t="shared" si="0"/>
        <v>-8.463800204142778</v>
      </c>
      <c r="C13" s="15">
        <v>540762</v>
      </c>
      <c r="D13" s="15">
        <v>590763</v>
      </c>
      <c r="E13" s="15"/>
      <c r="F13" s="16">
        <f t="shared" si="1"/>
        <v>-4.0990472201863675</v>
      </c>
      <c r="G13" s="15">
        <f>C13-357572</f>
        <v>183190</v>
      </c>
      <c r="H13" s="17">
        <v>191020</v>
      </c>
    </row>
    <row r="14" spans="1:8" ht="12.75">
      <c r="A14" s="11" t="s">
        <v>17</v>
      </c>
      <c r="B14" s="14">
        <f t="shared" si="0"/>
        <v>-1.8914657085252806</v>
      </c>
      <c r="C14" s="15">
        <v>871037</v>
      </c>
      <c r="D14" s="15">
        <v>887830</v>
      </c>
      <c r="E14" s="15"/>
      <c r="F14" s="16">
        <f t="shared" si="1"/>
        <v>1.4715843663212083</v>
      </c>
      <c r="G14" s="15">
        <f>C14-571432</f>
        <v>299605</v>
      </c>
      <c r="H14" s="17">
        <v>295260</v>
      </c>
    </row>
    <row r="15" spans="1:8" ht="12.75">
      <c r="A15" s="11" t="s">
        <v>20</v>
      </c>
      <c r="B15" s="14">
        <f>(C15-D15)/D15*100</f>
        <v>0.18728154033959252</v>
      </c>
      <c r="C15" s="15">
        <f>C18+C16+C17</f>
        <v>1176902</v>
      </c>
      <c r="D15" s="15">
        <f>D18+D16+D17</f>
        <v>1174702</v>
      </c>
      <c r="E15" s="15"/>
      <c r="F15" s="16">
        <f>(G15-H15)/H15*100</f>
        <v>12.96150331127562</v>
      </c>
      <c r="G15" s="15">
        <f>G18+G16+G17</f>
        <v>431374</v>
      </c>
      <c r="H15" s="17">
        <f>H18+H16+H17</f>
        <v>381877</v>
      </c>
    </row>
    <row r="16" spans="1:8" ht="12.75">
      <c r="A16" s="11" t="s">
        <v>19</v>
      </c>
      <c r="B16" s="14">
        <f>(C16-D16)/D16*100</f>
        <v>-97.3452807646356</v>
      </c>
      <c r="C16" s="15">
        <v>1111</v>
      </c>
      <c r="D16" s="15">
        <v>41850</v>
      </c>
      <c r="E16" s="15"/>
      <c r="F16" s="50" t="s">
        <v>30</v>
      </c>
      <c r="G16" s="15">
        <f>C16-4277</f>
        <v>-3166</v>
      </c>
      <c r="H16" s="17">
        <v>3624</v>
      </c>
    </row>
    <row r="17" spans="1:8" ht="12.75">
      <c r="A17" s="11" t="s">
        <v>18</v>
      </c>
      <c r="B17" s="14">
        <f>(C17-D17)/D17*100</f>
        <v>11.643732070160787</v>
      </c>
      <c r="C17" s="15">
        <v>620335</v>
      </c>
      <c r="D17" s="15">
        <v>555638</v>
      </c>
      <c r="E17" s="15"/>
      <c r="F17" s="16">
        <f>(G17-H17)/H17*100</f>
        <v>10.334795343083325</v>
      </c>
      <c r="G17" s="15">
        <f>C17-394686</f>
        <v>225649</v>
      </c>
      <c r="H17" s="17">
        <v>204513</v>
      </c>
    </row>
    <row r="18" spans="1:8" ht="12.75">
      <c r="A18" s="11" t="s">
        <v>10</v>
      </c>
      <c r="B18" s="14">
        <f t="shared" si="0"/>
        <v>-3.7694858406067766</v>
      </c>
      <c r="C18" s="15">
        <v>555456</v>
      </c>
      <c r="D18" s="51">
        <v>577214</v>
      </c>
      <c r="E18" s="15"/>
      <c r="F18" s="16">
        <f>(G18-H18)/H18*100</f>
        <v>20.231955796017036</v>
      </c>
      <c r="G18" s="15">
        <f>C18-346565</f>
        <v>208891</v>
      </c>
      <c r="H18" s="17">
        <v>173740</v>
      </c>
    </row>
    <row r="19" spans="1:8" ht="12.75">
      <c r="A19" s="11" t="s">
        <v>11</v>
      </c>
      <c r="B19" s="14"/>
      <c r="C19" s="12"/>
      <c r="D19" s="15"/>
      <c r="E19" s="12"/>
      <c r="F19" s="16"/>
      <c r="G19" s="12"/>
      <c r="H19" s="13"/>
    </row>
    <row r="20" spans="1:8" ht="12.75">
      <c r="A20" s="11" t="s">
        <v>12</v>
      </c>
      <c r="B20" s="14">
        <f aca="true" t="shared" si="2" ref="B20:B26">(C20-D20)/D20*100</f>
        <v>-2.7762398961174917</v>
      </c>
      <c r="C20" s="15">
        <v>386340</v>
      </c>
      <c r="D20" s="15">
        <v>397372</v>
      </c>
      <c r="E20" s="15"/>
      <c r="F20" s="16">
        <f>(G20-H20)/H20*100</f>
        <v>14.910061260850819</v>
      </c>
      <c r="G20" s="15">
        <f>C20-245096</f>
        <v>141244</v>
      </c>
      <c r="H20" s="17">
        <v>122917</v>
      </c>
    </row>
    <row r="21" spans="1:8" ht="12.75">
      <c r="A21" s="45" t="s">
        <v>21</v>
      </c>
      <c r="B21" s="14">
        <f t="shared" si="2"/>
        <v>1.767304860088367</v>
      </c>
      <c r="C21" s="20">
        <v>6.91</v>
      </c>
      <c r="D21" s="20">
        <v>6.79</v>
      </c>
      <c r="E21" s="31"/>
      <c r="F21" s="36">
        <f aca="true" t="shared" si="3" ref="F21:F26">(G21-H21)/H21*100</f>
        <v>-6.8733153638813995</v>
      </c>
      <c r="G21" s="20">
        <f>C21</f>
        <v>6.91</v>
      </c>
      <c r="H21" s="19">
        <v>7.42</v>
      </c>
    </row>
    <row r="22" spans="1:8" ht="12.75">
      <c r="A22" s="45" t="s">
        <v>22</v>
      </c>
      <c r="B22" s="14">
        <f t="shared" si="2"/>
        <v>-1.200407736076391</v>
      </c>
      <c r="C22" s="20">
        <f>C14/(C12+C13)*100</f>
        <v>42.71386798101447</v>
      </c>
      <c r="D22" s="20">
        <f>D14/(D12+D13)*100</f>
        <v>43.23283831669345</v>
      </c>
      <c r="E22" s="31"/>
      <c r="F22" s="36">
        <f t="shared" si="3"/>
        <v>-6.121128608209125</v>
      </c>
      <c r="G22" s="20">
        <f>G14/(G12+G13)*100</f>
        <v>41.11251687835509</v>
      </c>
      <c r="H22" s="19">
        <f>H14/(H12+H13)*100</f>
        <v>43.79315203607158</v>
      </c>
    </row>
    <row r="23" spans="1:9" ht="12.75">
      <c r="A23" s="11" t="s">
        <v>26</v>
      </c>
      <c r="B23" s="14">
        <f t="shared" si="2"/>
        <v>14.137306930069382</v>
      </c>
      <c r="C23" s="20">
        <f>(C11-126237)/(2586290-11610)</f>
        <v>2.5627410008234035</v>
      </c>
      <c r="D23" s="20">
        <f>(D11-131798)/(2472177-11091)</f>
        <v>2.2453140605407533</v>
      </c>
      <c r="E23" s="21" t="s">
        <v>33</v>
      </c>
      <c r="F23" s="16">
        <f t="shared" si="3"/>
        <v>2.307885277440856</v>
      </c>
      <c r="G23" s="20">
        <f>C23</f>
        <v>2.5627410008234035</v>
      </c>
      <c r="H23" s="19">
        <f>(H11-127800)/(2584473-11091)</f>
        <v>2.5049300881097327</v>
      </c>
      <c r="I23" t="s">
        <v>33</v>
      </c>
    </row>
    <row r="24" spans="1:8" ht="12.75">
      <c r="A24" s="45" t="s">
        <v>24</v>
      </c>
      <c r="B24" s="14">
        <f t="shared" si="2"/>
        <v>-6.11087540465752</v>
      </c>
      <c r="C24" s="20">
        <f>C20/2549611*100*4/3</f>
        <v>20.203866393736146</v>
      </c>
      <c r="D24" s="20">
        <f>(D20/2462163*100*4/3)</f>
        <v>21.518856929185162</v>
      </c>
      <c r="E24" s="21"/>
      <c r="F24" s="16">
        <f t="shared" si="3"/>
        <v>14.875447773911679</v>
      </c>
      <c r="G24" s="20">
        <f>G20/2549611*100*4</f>
        <v>22.159301948414875</v>
      </c>
      <c r="H24" s="19">
        <f>(H20/2548843*100*4)</f>
        <v>19.289850336015206</v>
      </c>
    </row>
    <row r="25" spans="1:8" ht="12.75">
      <c r="A25" s="11" t="s">
        <v>23</v>
      </c>
      <c r="B25" s="14">
        <f t="shared" si="2"/>
        <v>-18.19974904307368</v>
      </c>
      <c r="C25" s="20">
        <f>C20/C11*100*4/3</f>
        <v>7.660374973510944</v>
      </c>
      <c r="D25" s="20">
        <f>D20/D11*100*4/3</f>
        <v>9.36473285093548</v>
      </c>
      <c r="E25" s="31"/>
      <c r="F25" s="16">
        <f t="shared" si="3"/>
        <v>12.337703381346529</v>
      </c>
      <c r="G25" s="20">
        <f>G20/G11*100*4</f>
        <v>8.401786013034474</v>
      </c>
      <c r="H25" s="19">
        <f>H20/H11*100*4</f>
        <v>7.479043776169609</v>
      </c>
    </row>
    <row r="26" spans="1:8" ht="12.75">
      <c r="A26" s="46" t="s">
        <v>25</v>
      </c>
      <c r="B26" s="22">
        <f t="shared" si="2"/>
        <v>0.8474576271186409</v>
      </c>
      <c r="C26" s="48">
        <v>11.9</v>
      </c>
      <c r="D26" s="53">
        <v>11.8</v>
      </c>
      <c r="E26" s="42"/>
      <c r="F26" s="34">
        <f t="shared" si="3"/>
        <v>-1.734104046242767</v>
      </c>
      <c r="G26" s="48">
        <f>C26</f>
        <v>11.9</v>
      </c>
      <c r="H26" s="49">
        <v>12.11</v>
      </c>
    </row>
    <row r="27" spans="1:8" ht="12.75">
      <c r="A27" s="54" t="s">
        <v>34</v>
      </c>
      <c r="B27" s="12"/>
      <c r="C27" s="12"/>
      <c r="D27" s="12"/>
      <c r="E27" s="12"/>
      <c r="F27" s="12"/>
      <c r="G27" s="12"/>
      <c r="H27" s="12"/>
    </row>
    <row r="28" spans="1:8" ht="15.75">
      <c r="A28" s="56" t="s">
        <v>13</v>
      </c>
      <c r="B28" s="56"/>
      <c r="C28" s="56"/>
      <c r="D28" s="56"/>
      <c r="E28" s="56"/>
      <c r="F28" s="56"/>
      <c r="G28" s="56"/>
      <c r="H28" s="56"/>
    </row>
    <row r="29" spans="1:8" ht="15.75">
      <c r="A29" s="1"/>
      <c r="B29" s="1"/>
      <c r="C29" s="58" t="s">
        <v>27</v>
      </c>
      <c r="D29" s="58"/>
      <c r="E29" s="2"/>
      <c r="F29" s="1"/>
      <c r="G29" s="55" t="s">
        <v>3</v>
      </c>
      <c r="H29" s="55"/>
    </row>
    <row r="30" spans="1:8" ht="12.75">
      <c r="A30" s="23"/>
      <c r="B30" s="4" t="s">
        <v>4</v>
      </c>
      <c r="C30" s="5" t="s">
        <v>32</v>
      </c>
      <c r="D30" s="5" t="s">
        <v>28</v>
      </c>
      <c r="E30" s="5"/>
      <c r="F30" s="4" t="s">
        <v>4</v>
      </c>
      <c r="G30" s="5" t="s">
        <v>32</v>
      </c>
      <c r="H30" s="6" t="s">
        <v>31</v>
      </c>
    </row>
    <row r="31" spans="1:8" ht="12.75">
      <c r="A31" s="24"/>
      <c r="B31" s="8" t="s">
        <v>5</v>
      </c>
      <c r="C31" s="9" t="s">
        <v>6</v>
      </c>
      <c r="D31" s="9" t="s">
        <v>6</v>
      </c>
      <c r="E31" s="9"/>
      <c r="F31" s="8" t="s">
        <v>5</v>
      </c>
      <c r="G31" s="9" t="s">
        <v>6</v>
      </c>
      <c r="H31" s="10" t="s">
        <v>6</v>
      </c>
    </row>
    <row r="32" spans="1:8" ht="12.75">
      <c r="A32" s="11"/>
      <c r="B32" s="12"/>
      <c r="C32" s="25"/>
      <c r="D32" s="25"/>
      <c r="E32" s="25"/>
      <c r="F32" s="26"/>
      <c r="G32" s="25"/>
      <c r="H32" s="27"/>
    </row>
    <row r="33" spans="1:8" ht="12.75">
      <c r="A33" s="11" t="s">
        <v>7</v>
      </c>
      <c r="B33" s="14">
        <f aca="true" t="shared" si="4" ref="B33:B39">(C33-D33)/D33*100</f>
        <v>10.778348308410056</v>
      </c>
      <c r="C33" s="28">
        <v>71333370</v>
      </c>
      <c r="D33" s="28">
        <v>64392881</v>
      </c>
      <c r="E33" s="28"/>
      <c r="F33" s="14">
        <f aca="true" t="shared" si="5" ref="F33:F39">(G33-H33)/H33*100</f>
        <v>3.0713582490007765</v>
      </c>
      <c r="G33" s="28">
        <f>+C33</f>
        <v>71333370</v>
      </c>
      <c r="H33" s="18">
        <v>69207752</v>
      </c>
    </row>
    <row r="34" spans="1:8" ht="12.75">
      <c r="A34" s="11" t="s">
        <v>8</v>
      </c>
      <c r="B34" s="14">
        <f t="shared" si="4"/>
        <v>7.011896381822627</v>
      </c>
      <c r="C34" s="28">
        <v>43488739</v>
      </c>
      <c r="D34" s="28">
        <v>40639163</v>
      </c>
      <c r="E34" s="28"/>
      <c r="F34" s="14">
        <f t="shared" si="5"/>
        <v>1.7081929084999177</v>
      </c>
      <c r="G34" s="28">
        <f>+C34</f>
        <v>43488739</v>
      </c>
      <c r="H34" s="18">
        <v>42758344</v>
      </c>
    </row>
    <row r="35" spans="1:8" ht="12.75">
      <c r="A35" s="11" t="s">
        <v>9</v>
      </c>
      <c r="B35" s="14">
        <f t="shared" si="4"/>
        <v>10.396664845688306</v>
      </c>
      <c r="C35" s="28">
        <v>4593348</v>
      </c>
      <c r="D35" s="28">
        <v>4160767</v>
      </c>
      <c r="E35" s="28"/>
      <c r="F35" s="14">
        <f t="shared" si="5"/>
        <v>1.9535284279637362</v>
      </c>
      <c r="G35" s="28">
        <f>+C35</f>
        <v>4593348</v>
      </c>
      <c r="H35" s="18">
        <v>4505335</v>
      </c>
    </row>
    <row r="36" spans="1:8" ht="12.75">
      <c r="A36" s="11" t="s">
        <v>15</v>
      </c>
      <c r="B36" s="14">
        <f t="shared" si="4"/>
        <v>2.892395987021177</v>
      </c>
      <c r="C36" s="28">
        <v>1393375</v>
      </c>
      <c r="D36" s="28">
        <v>1354206</v>
      </c>
      <c r="E36" s="28"/>
      <c r="F36" s="14">
        <f t="shared" si="5"/>
        <v>11.586478644201065</v>
      </c>
      <c r="G36" s="28">
        <f>SUM(C36)-893828</f>
        <v>499547</v>
      </c>
      <c r="H36" s="18">
        <v>447677</v>
      </c>
    </row>
    <row r="37" spans="1:8" ht="12.75">
      <c r="A37" s="11" t="s">
        <v>16</v>
      </c>
      <c r="B37" s="14">
        <f t="shared" si="4"/>
        <v>13.640719269602458</v>
      </c>
      <c r="C37" s="28">
        <v>404403</v>
      </c>
      <c r="D37" s="28">
        <v>355861</v>
      </c>
      <c r="E37" s="28"/>
      <c r="F37" s="14">
        <f t="shared" si="5"/>
        <v>27.370200434677617</v>
      </c>
      <c r="G37" s="28">
        <f>SUM(C37)-246171</f>
        <v>158232</v>
      </c>
      <c r="H37" s="18">
        <v>124230</v>
      </c>
    </row>
    <row r="38" spans="1:8" ht="12.75">
      <c r="A38" s="11" t="s">
        <v>17</v>
      </c>
      <c r="B38" s="14">
        <f t="shared" si="4"/>
        <v>-2.3449926032045623</v>
      </c>
      <c r="C38" s="28">
        <v>772997</v>
      </c>
      <c r="D38" s="28">
        <v>791559</v>
      </c>
      <c r="E38" s="28"/>
      <c r="F38" s="14">
        <f t="shared" si="5"/>
        <v>4.204271167079387</v>
      </c>
      <c r="G38" s="28">
        <f>SUM(C38)-506629</f>
        <v>266368</v>
      </c>
      <c r="H38" s="18">
        <v>255621</v>
      </c>
    </row>
    <row r="39" spans="1:8" ht="12.75">
      <c r="A39" s="11" t="s">
        <v>20</v>
      </c>
      <c r="B39" s="14">
        <f t="shared" si="4"/>
        <v>11.570176852025241</v>
      </c>
      <c r="C39" s="28">
        <f>C41+C40</f>
        <v>1024781</v>
      </c>
      <c r="D39" s="28">
        <f>D41+D40</f>
        <v>918508</v>
      </c>
      <c r="E39" s="28"/>
      <c r="F39" s="14">
        <f t="shared" si="5"/>
        <v>23.752236899514994</v>
      </c>
      <c r="G39" s="28">
        <f>G41+G40</f>
        <v>391411</v>
      </c>
      <c r="H39" s="18">
        <f>H41+H40</f>
        <v>316286</v>
      </c>
    </row>
    <row r="40" spans="1:8" ht="12.75">
      <c r="A40" s="11" t="s">
        <v>18</v>
      </c>
      <c r="B40" s="14">
        <f>(C40-D40)/D40*100</f>
        <v>9.341604443796845</v>
      </c>
      <c r="C40" s="28">
        <v>615333</v>
      </c>
      <c r="D40" s="28">
        <v>562762</v>
      </c>
      <c r="E40" s="28"/>
      <c r="F40" s="14">
        <f>(G40-H40)/H40*100</f>
        <v>12.872865198575623</v>
      </c>
      <c r="G40" s="28">
        <f>SUM(C40)-391549</f>
        <v>223784</v>
      </c>
      <c r="H40" s="18">
        <v>198262</v>
      </c>
    </row>
    <row r="41" spans="1:8" ht="12.75">
      <c r="A41" s="11" t="s">
        <v>10</v>
      </c>
      <c r="B41" s="14">
        <f>(C41-D41)/D41*100</f>
        <v>15.09560191822255</v>
      </c>
      <c r="C41" s="28">
        <v>409448</v>
      </c>
      <c r="D41" s="52">
        <v>355746</v>
      </c>
      <c r="E41" s="28"/>
      <c r="F41" s="14">
        <f>(G41-H41)/H41*100</f>
        <v>42.027892632007045</v>
      </c>
      <c r="G41" s="28">
        <f>SUM(C41)-241821</f>
        <v>167627</v>
      </c>
      <c r="H41" s="18">
        <v>118024</v>
      </c>
    </row>
    <row r="42" spans="1:8" ht="12.75">
      <c r="A42" s="11" t="s">
        <v>11</v>
      </c>
      <c r="B42" s="14"/>
      <c r="C42" s="12"/>
      <c r="D42" s="28"/>
      <c r="E42" s="12"/>
      <c r="F42" s="14"/>
      <c r="G42" s="28"/>
      <c r="H42" s="13"/>
    </row>
    <row r="43" spans="1:8" ht="12.75">
      <c r="A43" s="11" t="s">
        <v>12</v>
      </c>
      <c r="B43" s="14">
        <f aca="true" t="shared" si="6" ref="B43:B49">(C43-D43)/D43*100</f>
        <v>13.001324560832083</v>
      </c>
      <c r="C43" s="28">
        <v>312243</v>
      </c>
      <c r="D43" s="28">
        <v>276318</v>
      </c>
      <c r="E43" s="28"/>
      <c r="F43" s="14">
        <f>(G43-H43)/H43*100</f>
        <v>30.882214579173507</v>
      </c>
      <c r="G43" s="28">
        <f>SUM(C43)-187045</f>
        <v>125198</v>
      </c>
      <c r="H43" s="18">
        <v>95657</v>
      </c>
    </row>
    <row r="44" spans="1:8" ht="12.75">
      <c r="A44" s="45" t="s">
        <v>21</v>
      </c>
      <c r="B44" s="14">
        <f t="shared" si="6"/>
        <v>5.084745762711865</v>
      </c>
      <c r="C44" s="39">
        <v>6.82</v>
      </c>
      <c r="D44" s="39">
        <v>6.49</v>
      </c>
      <c r="E44" s="33"/>
      <c r="F44" s="41">
        <f aca="true" t="shared" si="7" ref="F44:F49">(G44-H44)/H44*100</f>
        <v>-6.95770804911323</v>
      </c>
      <c r="G44" s="39">
        <f>C44</f>
        <v>6.82</v>
      </c>
      <c r="H44" s="40">
        <v>7.33</v>
      </c>
    </row>
    <row r="45" spans="1:8" ht="12.75">
      <c r="A45" s="45" t="s">
        <v>22</v>
      </c>
      <c r="B45" s="14">
        <f t="shared" si="6"/>
        <v>-7.109439800678515</v>
      </c>
      <c r="C45" s="20">
        <f>C38/(C36+C37)*100</f>
        <v>42.99735562455431</v>
      </c>
      <c r="D45" s="20">
        <f>D38/(D36+D37)*100</f>
        <v>46.288186369306</v>
      </c>
      <c r="E45" s="33"/>
      <c r="F45" s="41">
        <f t="shared" si="7"/>
        <v>-9.399430340052103</v>
      </c>
      <c r="G45" s="20">
        <f>G38/(G36+G37)*100</f>
        <v>40.49505989093601</v>
      </c>
      <c r="H45" s="19">
        <f>H38/(H36+H37)*100</f>
        <v>44.69625306212374</v>
      </c>
    </row>
    <row r="46" spans="1:8" ht="12.75">
      <c r="A46" s="11" t="s">
        <v>26</v>
      </c>
      <c r="B46" s="14">
        <f t="shared" si="6"/>
        <v>-4.2589624154606405</v>
      </c>
      <c r="C46" s="20">
        <f>(C35)/(1969805)</f>
        <v>2.3318795515292123</v>
      </c>
      <c r="D46" s="20">
        <f>(D35)/(1708305)</f>
        <v>2.4356113223341267</v>
      </c>
      <c r="E46" s="20"/>
      <c r="F46" s="14">
        <f t="shared" si="7"/>
        <v>1.9535284279637422</v>
      </c>
      <c r="G46" s="20">
        <f>C46</f>
        <v>2.3318795515292123</v>
      </c>
      <c r="H46" s="19">
        <f>(H35)/(1969805)</f>
        <v>2.287198479037265</v>
      </c>
    </row>
    <row r="47" spans="1:8" ht="12.75">
      <c r="A47" s="11" t="s">
        <v>24</v>
      </c>
      <c r="B47" s="14">
        <f t="shared" si="6"/>
        <v>22.68937717530981</v>
      </c>
      <c r="C47" s="20">
        <f>C43/1969805*100*4/3</f>
        <v>21.135290041400037</v>
      </c>
      <c r="D47" s="20">
        <f>12.92*4/3</f>
        <v>17.226666666666667</v>
      </c>
      <c r="E47" s="20"/>
      <c r="F47" s="14">
        <f t="shared" si="7"/>
        <v>30.882214579173517</v>
      </c>
      <c r="G47" s="20">
        <f>G43/1969805*100*4</f>
        <v>25.423430238018486</v>
      </c>
      <c r="H47" s="19">
        <f>H43/1969805*100*4</f>
        <v>19.42466386266661</v>
      </c>
    </row>
    <row r="48" spans="1:8" ht="12.75">
      <c r="A48" s="11" t="s">
        <v>23</v>
      </c>
      <c r="B48" s="14">
        <f t="shared" si="6"/>
        <v>2.3593644960059112</v>
      </c>
      <c r="C48" s="20">
        <f>SUM(C43)/C35*100*4/3</f>
        <v>9.063628534132404</v>
      </c>
      <c r="D48" s="20">
        <f>SUM(D43)/D35*100*4/3</f>
        <v>8.854713566032416</v>
      </c>
      <c r="E48" s="31"/>
      <c r="F48" s="14">
        <f t="shared" si="7"/>
        <v>28.374384484054048</v>
      </c>
      <c r="G48" s="20">
        <f>SUM(G43)/G35*100*4</f>
        <v>10.902548642079807</v>
      </c>
      <c r="H48" s="19">
        <f>SUM(H43)/H35*100*4</f>
        <v>8.492775786928163</v>
      </c>
    </row>
    <row r="49" spans="1:8" ht="12.75">
      <c r="A49" s="46" t="s">
        <v>25</v>
      </c>
      <c r="B49" s="22">
        <f t="shared" si="6"/>
        <v>-1.6157989228007157</v>
      </c>
      <c r="C49" s="37">
        <v>10.96</v>
      </c>
      <c r="D49" s="37">
        <v>11.14</v>
      </c>
      <c r="E49" s="32"/>
      <c r="F49" s="22">
        <f t="shared" si="7"/>
        <v>-1.3501350135013375</v>
      </c>
      <c r="G49" s="37">
        <f>C49</f>
        <v>10.96</v>
      </c>
      <c r="H49" s="38">
        <v>11.11</v>
      </c>
    </row>
    <row r="50" spans="3:8" ht="12.75">
      <c r="C50" s="29"/>
      <c r="D50" s="29"/>
      <c r="E50" s="29"/>
      <c r="F50" s="30"/>
      <c r="G50" s="29"/>
      <c r="H50" s="29"/>
    </row>
    <row r="51" spans="1:8" ht="15.75">
      <c r="A51" s="56" t="s">
        <v>14</v>
      </c>
      <c r="B51" s="56"/>
      <c r="C51" s="56"/>
      <c r="D51" s="56"/>
      <c r="E51" s="56"/>
      <c r="F51" s="56"/>
      <c r="G51" s="56"/>
      <c r="H51" s="56"/>
    </row>
    <row r="52" spans="1:8" ht="15.75">
      <c r="A52" s="1"/>
      <c r="B52" s="1"/>
      <c r="C52" s="58" t="s">
        <v>27</v>
      </c>
      <c r="D52" s="58"/>
      <c r="E52" s="2"/>
      <c r="F52" s="1"/>
      <c r="G52" s="55" t="s">
        <v>3</v>
      </c>
      <c r="H52" s="55"/>
    </row>
    <row r="53" spans="1:8" ht="12.75">
      <c r="A53" s="23"/>
      <c r="B53" s="4" t="s">
        <v>4</v>
      </c>
      <c r="C53" s="5" t="s">
        <v>32</v>
      </c>
      <c r="D53" s="5" t="s">
        <v>28</v>
      </c>
      <c r="E53" s="5"/>
      <c r="F53" s="4" t="s">
        <v>4</v>
      </c>
      <c r="G53" s="5" t="s">
        <v>32</v>
      </c>
      <c r="H53" s="6" t="s">
        <v>31</v>
      </c>
    </row>
    <row r="54" spans="1:8" ht="12.75">
      <c r="A54" s="24"/>
      <c r="B54" s="8" t="s">
        <v>5</v>
      </c>
      <c r="C54" s="9" t="s">
        <v>6</v>
      </c>
      <c r="D54" s="9" t="s">
        <v>6</v>
      </c>
      <c r="E54" s="9"/>
      <c r="F54" s="8" t="s">
        <v>5</v>
      </c>
      <c r="G54" s="9" t="s">
        <v>6</v>
      </c>
      <c r="H54" s="10" t="s">
        <v>6</v>
      </c>
    </row>
    <row r="55" spans="1:8" ht="12.75">
      <c r="A55" s="11"/>
      <c r="B55" s="12"/>
      <c r="C55" s="12"/>
      <c r="D55" s="12"/>
      <c r="E55" s="12"/>
      <c r="F55" s="12"/>
      <c r="G55" s="12"/>
      <c r="H55" s="13"/>
    </row>
    <row r="56" spans="1:8" ht="12.75">
      <c r="A56" s="11" t="s">
        <v>7</v>
      </c>
      <c r="B56" s="14">
        <f aca="true" t="shared" si="8" ref="B56:B65">(C56-D56)/D56*100</f>
        <v>21.917376159788056</v>
      </c>
      <c r="C56" s="28">
        <v>12357822</v>
      </c>
      <c r="D56" s="28">
        <v>10136227</v>
      </c>
      <c r="E56" s="28"/>
      <c r="F56" s="14">
        <f aca="true" t="shared" si="9" ref="F56:F65">(G56-H56)/H56*100</f>
        <v>30.791709773270288</v>
      </c>
      <c r="G56" s="28">
        <f>+C56</f>
        <v>12357822</v>
      </c>
      <c r="H56" s="18">
        <v>9448475</v>
      </c>
    </row>
    <row r="57" spans="1:8" ht="12.75">
      <c r="A57" s="11" t="s">
        <v>8</v>
      </c>
      <c r="B57" s="14">
        <f t="shared" si="8"/>
        <v>19.417624314117365</v>
      </c>
      <c r="C57" s="28">
        <v>1061188</v>
      </c>
      <c r="D57" s="28">
        <v>888636</v>
      </c>
      <c r="E57" s="28"/>
      <c r="F57" s="14">
        <f t="shared" si="9"/>
        <v>8.868044733659094</v>
      </c>
      <c r="G57" s="28">
        <f>+C57</f>
        <v>1061188</v>
      </c>
      <c r="H57" s="18">
        <v>974747</v>
      </c>
    </row>
    <row r="58" spans="1:8" ht="12.75">
      <c r="A58" s="11" t="s">
        <v>9</v>
      </c>
      <c r="B58" s="14">
        <f t="shared" si="8"/>
        <v>5.289965697563743</v>
      </c>
      <c r="C58" s="28">
        <v>1410417</v>
      </c>
      <c r="D58" s="28">
        <v>1339555</v>
      </c>
      <c r="E58" s="28"/>
      <c r="F58" s="14">
        <f t="shared" si="9"/>
        <v>0.9959119490099956</v>
      </c>
      <c r="G58" s="28">
        <f>+C58</f>
        <v>1410417</v>
      </c>
      <c r="H58" s="18">
        <v>1396509</v>
      </c>
    </row>
    <row r="59" spans="1:8" ht="12.75">
      <c r="A59" s="11" t="s">
        <v>15</v>
      </c>
      <c r="B59" s="14">
        <f t="shared" si="8"/>
        <v>24.33362293657689</v>
      </c>
      <c r="C59" s="28">
        <v>107331</v>
      </c>
      <c r="D59" s="28">
        <v>86325</v>
      </c>
      <c r="E59" s="28"/>
      <c r="F59" s="14">
        <f t="shared" si="9"/>
        <v>49.83670013305915</v>
      </c>
      <c r="G59" s="28">
        <f>SUM(C59)-57783</f>
        <v>49548</v>
      </c>
      <c r="H59" s="18">
        <v>33068</v>
      </c>
    </row>
    <row r="60" spans="1:8" ht="12.75">
      <c r="A60" s="11" t="s">
        <v>16</v>
      </c>
      <c r="B60" s="14">
        <f t="shared" si="8"/>
        <v>-46.18652640097107</v>
      </c>
      <c r="C60" s="28">
        <v>122360</v>
      </c>
      <c r="D60" s="28">
        <v>227378</v>
      </c>
      <c r="E60" s="28"/>
      <c r="F60" s="14">
        <f t="shared" si="9"/>
        <v>-54.63685992675005</v>
      </c>
      <c r="G60" s="28">
        <f>SUM(C60)-96102</f>
        <v>26258</v>
      </c>
      <c r="H60" s="18">
        <v>57884</v>
      </c>
    </row>
    <row r="61" spans="1:8" ht="12.75">
      <c r="A61" s="11" t="s">
        <v>17</v>
      </c>
      <c r="B61" s="14">
        <f t="shared" si="8"/>
        <v>23.461094462388786</v>
      </c>
      <c r="C61" s="28">
        <v>105879</v>
      </c>
      <c r="D61" s="28">
        <v>85759</v>
      </c>
      <c r="E61" s="28"/>
      <c r="F61" s="14">
        <f t="shared" si="9"/>
        <v>-5.330442583732058</v>
      </c>
      <c r="G61" s="28">
        <f>SUM(C61)-67890</f>
        <v>37989</v>
      </c>
      <c r="H61" s="18">
        <v>40128</v>
      </c>
    </row>
    <row r="62" spans="1:8" ht="12.75">
      <c r="A62" s="11" t="s">
        <v>20</v>
      </c>
      <c r="B62" s="14">
        <f>(C62-D62)/D62*100</f>
        <v>-45.45725977835151</v>
      </c>
      <c r="C62" s="28">
        <f>C65+C63+C64</f>
        <v>124220</v>
      </c>
      <c r="D62" s="28">
        <f>D65+D63+D64</f>
        <v>227748</v>
      </c>
      <c r="E62" s="28"/>
      <c r="F62" s="14">
        <f>(G62-H62)/H62*100</f>
        <v>-25.272545129544877</v>
      </c>
      <c r="G62" s="28">
        <f>G65+G63+G64</f>
        <v>38043</v>
      </c>
      <c r="H62" s="18">
        <f>H65+H63+H64</f>
        <v>50909</v>
      </c>
    </row>
    <row r="63" spans="1:8" ht="12.75">
      <c r="A63" s="11" t="s">
        <v>19</v>
      </c>
      <c r="B63" s="14">
        <f>(C63-D63)/D63*100</f>
        <v>-97.3452807646356</v>
      </c>
      <c r="C63" s="28">
        <v>1111</v>
      </c>
      <c r="D63" s="28">
        <v>41850</v>
      </c>
      <c r="E63" s="28"/>
      <c r="F63" s="50" t="s">
        <v>30</v>
      </c>
      <c r="G63" s="28">
        <f>C63-4277</f>
        <v>-3166</v>
      </c>
      <c r="H63" s="18">
        <v>3624</v>
      </c>
    </row>
    <row r="64" spans="1:8" ht="12.75">
      <c r="A64" s="11" t="s">
        <v>18</v>
      </c>
      <c r="B64" s="50" t="s">
        <v>30</v>
      </c>
      <c r="C64" s="28">
        <v>5002</v>
      </c>
      <c r="D64" s="28">
        <v>-7124</v>
      </c>
      <c r="E64" s="28"/>
      <c r="F64" s="50" t="s">
        <v>30</v>
      </c>
      <c r="G64" s="28">
        <f>SUM(C64)-3137</f>
        <v>1865</v>
      </c>
      <c r="H64" s="18">
        <v>6251</v>
      </c>
    </row>
    <row r="65" spans="1:8" ht="12.75">
      <c r="A65" s="11" t="s">
        <v>10</v>
      </c>
      <c r="B65" s="14">
        <f t="shared" si="8"/>
        <v>-38.81163805162106</v>
      </c>
      <c r="C65" s="28">
        <v>118107</v>
      </c>
      <c r="D65" s="52">
        <v>193022</v>
      </c>
      <c r="E65" s="28"/>
      <c r="F65" s="14">
        <f t="shared" si="9"/>
        <v>-4.118535848320905</v>
      </c>
      <c r="G65" s="28">
        <f>SUM(C65)-78763</f>
        <v>39344</v>
      </c>
      <c r="H65" s="18">
        <v>41034</v>
      </c>
    </row>
    <row r="66" spans="1:8" ht="12.75">
      <c r="A66" s="11" t="s">
        <v>11</v>
      </c>
      <c r="B66" s="14"/>
      <c r="C66" s="12"/>
      <c r="D66" s="28"/>
      <c r="E66" s="12"/>
      <c r="F66" s="14"/>
      <c r="G66" s="28"/>
      <c r="H66" s="13"/>
    </row>
    <row r="67" spans="1:8" ht="12.75">
      <c r="A67" s="11" t="s">
        <v>12</v>
      </c>
      <c r="B67" s="14">
        <f aca="true" t="shared" si="10" ref="B67:B73">(C67-D67)/D67*100</f>
        <v>-42.40694583543551</v>
      </c>
      <c r="C67" s="28">
        <v>76483</v>
      </c>
      <c r="D67" s="28">
        <v>132799</v>
      </c>
      <c r="E67" s="28"/>
      <c r="F67" s="14">
        <f aca="true" t="shared" si="11" ref="F67:F73">(G67-H67)/H67*100</f>
        <v>1.8540824227824142</v>
      </c>
      <c r="G67" s="28">
        <f>SUM(C67)-52806</f>
        <v>23677</v>
      </c>
      <c r="H67" s="18">
        <v>23246</v>
      </c>
    </row>
    <row r="68" spans="1:8" ht="12.75">
      <c r="A68" s="45" t="s">
        <v>21</v>
      </c>
      <c r="B68" s="14">
        <f t="shared" si="10"/>
        <v>-48.37758112094395</v>
      </c>
      <c r="C68" s="39">
        <v>10.5</v>
      </c>
      <c r="D68" s="39">
        <v>20.34</v>
      </c>
      <c r="E68" s="33"/>
      <c r="F68" s="41">
        <f t="shared" si="11"/>
        <v>-7.8947368421052655</v>
      </c>
      <c r="G68" s="39">
        <f>C68</f>
        <v>10.5</v>
      </c>
      <c r="H68" s="40">
        <v>11.4</v>
      </c>
    </row>
    <row r="69" spans="1:8" ht="12.75">
      <c r="A69" s="45" t="s">
        <v>22</v>
      </c>
      <c r="B69" s="14">
        <f t="shared" si="10"/>
        <v>68.61834253904048</v>
      </c>
      <c r="C69" s="20">
        <f>C61/(C59+C60)*100</f>
        <v>46.09627717237506</v>
      </c>
      <c r="D69" s="20">
        <f>D61/(D59+D60)*100</f>
        <v>27.337641017140417</v>
      </c>
      <c r="E69" s="33"/>
      <c r="F69" s="41">
        <f t="shared" si="11"/>
        <v>13.584486533050178</v>
      </c>
      <c r="G69" s="20">
        <f>G61/(G59+G60)*100</f>
        <v>50.11344748436799</v>
      </c>
      <c r="H69" s="19">
        <f>H61/(H59+H60)*100</f>
        <v>44.11997537162459</v>
      </c>
    </row>
    <row r="70" spans="1:8" ht="12.75">
      <c r="A70" s="11" t="s">
        <v>26</v>
      </c>
      <c r="B70" s="14">
        <f t="shared" si="10"/>
        <v>5.514611635589485</v>
      </c>
      <c r="C70" s="20">
        <f>(C58-31551)/(319242)</f>
        <v>4.319187324976037</v>
      </c>
      <c r="D70" s="20">
        <f>(D58-32754)/(319242)</f>
        <v>4.093449483463956</v>
      </c>
      <c r="E70" s="20"/>
      <c r="F70" s="14">
        <f t="shared" si="11"/>
        <v>1.0446200419020368</v>
      </c>
      <c r="G70" s="20">
        <f>C70</f>
        <v>4.319187324976037</v>
      </c>
      <c r="H70" s="19">
        <f>(H58-31898)/(319242)</f>
        <v>4.274534679020931</v>
      </c>
    </row>
    <row r="71" spans="1:8" ht="12.75">
      <c r="A71" s="11" t="s">
        <v>24</v>
      </c>
      <c r="B71" s="14">
        <f t="shared" si="10"/>
        <v>-13.478919206482862</v>
      </c>
      <c r="C71" s="20">
        <f>C67/319242*100*4/3</f>
        <v>31.94358302896653</v>
      </c>
      <c r="D71" s="20">
        <f>27.69*4/3</f>
        <v>36.92</v>
      </c>
      <c r="E71" s="20"/>
      <c r="F71" s="14">
        <f t="shared" si="11"/>
        <v>1.854082422782422</v>
      </c>
      <c r="G71" s="20">
        <f>G67/319242*100*4</f>
        <v>29.666522575350363</v>
      </c>
      <c r="H71" s="19">
        <f>H67/319242*100*4</f>
        <v>29.12649338119671</v>
      </c>
    </row>
    <row r="72" spans="1:8" ht="12.75">
      <c r="A72" s="11" t="s">
        <v>23</v>
      </c>
      <c r="B72" s="14">
        <f t="shared" si="10"/>
        <v>-45.300529083658816</v>
      </c>
      <c r="C72" s="20">
        <f>SUM(C67)/(C58)*100*4/3</f>
        <v>7.230296666399606</v>
      </c>
      <c r="D72" s="20">
        <f>SUM(D67)/(D58)*100*4/3</f>
        <v>13.218220478691306</v>
      </c>
      <c r="E72" s="33"/>
      <c r="F72" s="14">
        <f t="shared" si="11"/>
        <v>0.8497081289841452</v>
      </c>
      <c r="G72" s="39">
        <f>SUM(G67)/G58*100*4</f>
        <v>6.714893538577598</v>
      </c>
      <c r="H72" s="19">
        <f>SUM(H67)/(H58)*100*4</f>
        <v>6.6583172754346736</v>
      </c>
    </row>
    <row r="73" spans="1:8" ht="12.75">
      <c r="A73" s="47" t="s">
        <v>25</v>
      </c>
      <c r="B73" s="22">
        <f t="shared" si="10"/>
        <v>-3.5886214442013142</v>
      </c>
      <c r="C73" s="42">
        <v>22.03</v>
      </c>
      <c r="D73" s="42">
        <v>22.85</v>
      </c>
      <c r="E73" s="42"/>
      <c r="F73" s="22">
        <f t="shared" si="11"/>
        <v>-7.939824488090258</v>
      </c>
      <c r="G73" s="42">
        <f>C73</f>
        <v>22.03</v>
      </c>
      <c r="H73" s="43">
        <v>23.93</v>
      </c>
    </row>
    <row r="75" ht="12.75">
      <c r="D75" s="35" t="s">
        <v>29</v>
      </c>
    </row>
  </sheetData>
  <mergeCells count="11">
    <mergeCell ref="A1:H1"/>
    <mergeCell ref="A2:H2"/>
    <mergeCell ref="A4:H4"/>
    <mergeCell ref="C5:D5"/>
    <mergeCell ref="G5:H5"/>
    <mergeCell ref="C52:D52"/>
    <mergeCell ref="G52:H52"/>
    <mergeCell ref="A28:H28"/>
    <mergeCell ref="C29:D29"/>
    <mergeCell ref="G29:H29"/>
    <mergeCell ref="A51:H51"/>
  </mergeCells>
  <printOptions/>
  <pageMargins left="0.92" right="0.73" top="0.52" bottom="0.49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azni</dc:creator>
  <cp:keywords/>
  <dc:description/>
  <cp:lastModifiedBy>cahb</cp:lastModifiedBy>
  <cp:lastPrinted>2003-01-07T09:08:32Z</cp:lastPrinted>
  <dcterms:created xsi:type="dcterms:W3CDTF">2001-05-15T05:04:17Z</dcterms:created>
  <dcterms:modified xsi:type="dcterms:W3CDTF">2003-01-08T09:15:48Z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