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tabRatio="599" activeTab="0"/>
  </bookViews>
  <sheets>
    <sheet name="BS" sheetId="1" r:id="rId1"/>
    <sheet name="PNL" sheetId="2" r:id="rId2"/>
    <sheet name="CFlow" sheetId="3" r:id="rId3"/>
    <sheet name="Stat Equity" sheetId="4" r:id="rId4"/>
    <sheet name="Notes" sheetId="5" r:id="rId5"/>
    <sheet name="Note A9" sheetId="6" r:id="rId6"/>
    <sheet name="Note A13" sheetId="7" r:id="rId7"/>
  </sheets>
  <definedNames>
    <definedName name="_xlnm.Print_Area" localSheetId="0">'BS'!$A$1:$D$60</definedName>
    <definedName name="_xlnm.Print_Area" localSheetId="2">'CFlow'!$A$1:$D$88</definedName>
    <definedName name="_xlnm.Print_Area" localSheetId="6">'Note A13'!$A$1:$J$44</definedName>
    <definedName name="_xlnm.Print_Area" localSheetId="5">'Note A9'!$A$67:$G$209</definedName>
    <definedName name="_xlnm.Print_Area" localSheetId="4">'Notes'!$A$139:$I$326</definedName>
    <definedName name="_xlnm.Print_Area" localSheetId="1">'PNL'!$A$1:$H$40</definedName>
    <definedName name="_xlnm.Print_Area" localSheetId="3">'Stat Equity'!$A$1:$J$40</definedName>
  </definedNames>
  <calcPr fullCalcOnLoad="1"/>
</workbook>
</file>

<file path=xl/sharedStrings.xml><?xml version="1.0" encoding="utf-8"?>
<sst xmlns="http://schemas.openxmlformats.org/spreadsheetml/2006/main" count="585" uniqueCount="401">
  <si>
    <t>ASSETS</t>
  </si>
  <si>
    <t>RM'000</t>
  </si>
  <si>
    <t>Dealing securities</t>
  </si>
  <si>
    <t>Investment securities</t>
  </si>
  <si>
    <t>Other assets</t>
  </si>
  <si>
    <t>Statutory deposits with Bank Negara Malaysia</t>
  </si>
  <si>
    <t>Investment in subsidiary companies</t>
  </si>
  <si>
    <t>Fixed assets</t>
  </si>
  <si>
    <t>Total Assets</t>
  </si>
  <si>
    <t>LIABILITIES AND SHAREHOLDERS' FUNDS</t>
  </si>
  <si>
    <t>Deposits from customers</t>
  </si>
  <si>
    <t xml:space="preserve">  financial institutions</t>
  </si>
  <si>
    <t>Obligations on securities sold under</t>
  </si>
  <si>
    <t xml:space="preserve">  repurchase agreements</t>
  </si>
  <si>
    <t>Bills and acceptances payable</t>
  </si>
  <si>
    <t>Other liabilities</t>
  </si>
  <si>
    <t>Total Liabilities</t>
  </si>
  <si>
    <t>Total Hybrid Capital</t>
  </si>
  <si>
    <t>Share Capital</t>
  </si>
  <si>
    <t>Reserves</t>
  </si>
  <si>
    <t>Equity Shareholders' Funds</t>
  </si>
  <si>
    <t>COMMITMENTS AND CONTINGENCIES</t>
  </si>
  <si>
    <t>CAPITAL ADEQUACY</t>
  </si>
  <si>
    <t xml:space="preserve"> RM'000 </t>
  </si>
  <si>
    <t>Taxation</t>
  </si>
  <si>
    <t>Group</t>
  </si>
  <si>
    <t>Total</t>
  </si>
  <si>
    <t>Agriculture</t>
  </si>
  <si>
    <t>Mining and quarrying</t>
  </si>
  <si>
    <t>Manufacturing</t>
  </si>
  <si>
    <t>Electricity, gas and water</t>
  </si>
  <si>
    <t>Construction</t>
  </si>
  <si>
    <t>Real estate</t>
  </si>
  <si>
    <t>Purchase of landed property :</t>
  </si>
  <si>
    <t>General commerce</t>
  </si>
  <si>
    <t>Transport, storage and communication</t>
  </si>
  <si>
    <t>Purchase of securities</t>
  </si>
  <si>
    <t>Purchase of transport vehicles</t>
  </si>
  <si>
    <t>Consumption credit</t>
  </si>
  <si>
    <t>Others</t>
  </si>
  <si>
    <t>Amount transferred to specific provision</t>
  </si>
  <si>
    <t>Exchange difference</t>
  </si>
  <si>
    <t>Amount transferred from general provision</t>
  </si>
  <si>
    <t>Amount sold to Danaharta Urus</t>
  </si>
  <si>
    <t>Amount written back in respect of recoveries</t>
  </si>
  <si>
    <t>Amount recovered</t>
  </si>
  <si>
    <t xml:space="preserve">      Any submission to SC, FIC?</t>
  </si>
  <si>
    <t>EXPLANATORY NOTES</t>
  </si>
  <si>
    <t>Principal</t>
  </si>
  <si>
    <t>Credit</t>
  </si>
  <si>
    <t>Amount</t>
  </si>
  <si>
    <t>Direct credit substitutes</t>
  </si>
  <si>
    <t>Transaction-related contingent items</t>
  </si>
  <si>
    <t xml:space="preserve">Short-term self-liquidating trade-related </t>
  </si>
  <si>
    <t xml:space="preserve">  contingencies</t>
  </si>
  <si>
    <t>Obligations under underwriting agreement</t>
  </si>
  <si>
    <t>Miscellaneous commitments and contingencies</t>
  </si>
  <si>
    <t>*</t>
  </si>
  <si>
    <t>Foreign exchange related contracts</t>
  </si>
  <si>
    <t>- forwards</t>
  </si>
  <si>
    <t>- swaps</t>
  </si>
  <si>
    <t>- options</t>
  </si>
  <si>
    <t>Interest rate related contracts</t>
  </si>
  <si>
    <t>1 month</t>
  </si>
  <si>
    <t>or less</t>
  </si>
  <si>
    <t>&gt;1-3</t>
  </si>
  <si>
    <t>months</t>
  </si>
  <si>
    <t>&gt;3-6</t>
  </si>
  <si>
    <t>&gt;6-12</t>
  </si>
  <si>
    <t>&gt;1-5</t>
  </si>
  <si>
    <t>years</t>
  </si>
  <si>
    <t>Turnover</t>
  </si>
  <si>
    <t xml:space="preserve">      One year or less (short term)</t>
  </si>
  <si>
    <t xml:space="preserve">      More than one year (medium/long term)</t>
  </si>
  <si>
    <t>Balance as at 1 January</t>
  </si>
  <si>
    <t xml:space="preserve"> (as % of total loans)</t>
  </si>
  <si>
    <t xml:space="preserve">  - Residential</t>
  </si>
  <si>
    <t xml:space="preserve">  - Non-residential</t>
  </si>
  <si>
    <t>Commercial banking</t>
  </si>
  <si>
    <t>Offshore banking</t>
  </si>
  <si>
    <t>Finance, factoring and leasing operations</t>
  </si>
  <si>
    <t>Unit trust management</t>
  </si>
  <si>
    <t>Consolidation adjustments</t>
  </si>
  <si>
    <t>Profit</t>
  </si>
  <si>
    <t>Irrevocable commitments to extend credit :</t>
  </si>
  <si>
    <t>Finance, insurance and business services</t>
  </si>
  <si>
    <t xml:space="preserve">Interest income </t>
  </si>
  <si>
    <t xml:space="preserve">Interest expense </t>
  </si>
  <si>
    <t xml:space="preserve">Net interest income </t>
  </si>
  <si>
    <t>Non-interest income</t>
  </si>
  <si>
    <t>Staff cost and overheads</t>
  </si>
  <si>
    <t>CHANGES IN THE COMPOSITION OF THE GROUP</t>
  </si>
  <si>
    <t>STATUS OF CORPORATE PROPOSALS</t>
  </si>
  <si>
    <t>DEPOSITS AND PLACEMENT OF FINANCIAL INSTITUTIONS AND DEBT SECURITIES</t>
  </si>
  <si>
    <t>COMPARISON WITH THE PRECEDING QUARTER'S RESULT</t>
  </si>
  <si>
    <t>GROUP PERFORMANCE REVIEW</t>
  </si>
  <si>
    <t>PROSPECTS FOR THE CURRENT FINANCIAL YEAR</t>
  </si>
  <si>
    <t xml:space="preserve">Value of contracts classified by the remaining period to maturity/next repricing date </t>
  </si>
  <si>
    <t>Profit after taxation</t>
  </si>
  <si>
    <t>ISSUANCE AND REPAYMENT OF DEBT AND EQUITY SECURITIES</t>
  </si>
  <si>
    <t>NON-PERFORMING LOANS</t>
  </si>
  <si>
    <t>NPL during the period/year (gross)</t>
  </si>
  <si>
    <t>Performing during the period/year</t>
  </si>
  <si>
    <t>LOAN LOSS PROVISION</t>
  </si>
  <si>
    <t>Net provisions/(write back) for the period/year</t>
  </si>
  <si>
    <t>Provision made during the period/year</t>
  </si>
  <si>
    <t>Amount written back in respect of</t>
  </si>
  <si>
    <t>AMOUNT RECOVERABLE FROM DANAHARTA</t>
  </si>
  <si>
    <t>(Whichever earlier)</t>
  </si>
  <si>
    <t>Items</t>
  </si>
  <si>
    <t>Market risk</t>
  </si>
  <si>
    <t>Credit risk</t>
  </si>
  <si>
    <t>Related accounting policies</t>
  </si>
  <si>
    <t>Loan and financing loss and provision</t>
  </si>
  <si>
    <t>Deposits and placements of banks and</t>
  </si>
  <si>
    <t>other financial institutions</t>
  </si>
  <si>
    <t>Risk-weighted Exposures of the Group as at</t>
  </si>
  <si>
    <t>amount</t>
  </si>
  <si>
    <t xml:space="preserve"> equivalent</t>
  </si>
  <si>
    <t>amount*</t>
  </si>
  <si>
    <t>before tax</t>
  </si>
  <si>
    <t>assets</t>
  </si>
  <si>
    <t>General provision</t>
  </si>
  <si>
    <t>Specific provision</t>
  </si>
  <si>
    <t xml:space="preserve">Interest-in-suspense </t>
  </si>
  <si>
    <t>OFF-BALANCE SHEET RISK</t>
  </si>
  <si>
    <t>Amount written off</t>
  </si>
  <si>
    <t>Cash and short term funds</t>
  </si>
  <si>
    <t>Loans and advances</t>
  </si>
  <si>
    <t>Deposits and placements of banks and other</t>
  </si>
  <si>
    <t>Irredeemable Convertible Unsecured Loan Stocks</t>
  </si>
  <si>
    <t>Total Liabilities and Shareholders' Funds</t>
  </si>
  <si>
    <t>Core Capital Ratio</t>
  </si>
  <si>
    <t>Risk-weighted Capital Ratio</t>
  </si>
  <si>
    <t xml:space="preserve">  - maturity not exceeding one year</t>
  </si>
  <si>
    <t xml:space="preserve">  - maturity exceeding one year</t>
  </si>
  <si>
    <t xml:space="preserve">  NPLs reclassified as performing</t>
  </si>
  <si>
    <t>&gt;5 years</t>
  </si>
  <si>
    <t>Other adjustment</t>
  </si>
  <si>
    <t>Deposits and placements with financial institutions</t>
  </si>
  <si>
    <t>Provision made during the period</t>
  </si>
  <si>
    <t>Amount recovered during the period</t>
  </si>
  <si>
    <t>Amount owing to Cagamas Berhad</t>
  </si>
  <si>
    <t>31/12/2001</t>
  </si>
  <si>
    <t>UNUSUAL EVENT/S AFFECTING FINANCIAL STATEMENTS</t>
  </si>
  <si>
    <t>SEASONALITY AND CYCLICALITY FACTORS ON INTERIM OPERATIONS</t>
  </si>
  <si>
    <t>SEGMENTAL REPORTING</t>
  </si>
  <si>
    <t>Corporate</t>
  </si>
  <si>
    <t>banking</t>
  </si>
  <si>
    <t>Business</t>
  </si>
  <si>
    <t>Retail</t>
  </si>
  <si>
    <t>-external</t>
  </si>
  <si>
    <t>Intersegmental charges</t>
  </si>
  <si>
    <t>(exclude provisions)</t>
  </si>
  <si>
    <t>Segment result</t>
  </si>
  <si>
    <t>Unallocated income</t>
  </si>
  <si>
    <t>Unallocated cost</t>
  </si>
  <si>
    <t>Profit from operations</t>
  </si>
  <si>
    <t>Income from associated companies</t>
  </si>
  <si>
    <t>Profit before taxation</t>
  </si>
  <si>
    <t>Income tax expense</t>
  </si>
  <si>
    <t>Net profit for the period</t>
  </si>
  <si>
    <t>Segment assets</t>
  </si>
  <si>
    <t>Investment in associated companies</t>
  </si>
  <si>
    <t>Unallocated assets</t>
  </si>
  <si>
    <t>Total assets</t>
  </si>
  <si>
    <t>Segment liabilities</t>
  </si>
  <si>
    <t>Unallocated liabilities</t>
  </si>
  <si>
    <t>Total liabilities</t>
  </si>
  <si>
    <t>Depreciation</t>
  </si>
  <si>
    <t>Provision for other receivables</t>
  </si>
  <si>
    <t>Net income</t>
  </si>
  <si>
    <t>VALUATIONS OF PROPERTY, PLANT &amp; EQUIPMENT</t>
  </si>
  <si>
    <t>EVENTS AFTER THE BALANCE SHEET DATE</t>
  </si>
  <si>
    <t>PARTICULARS OF PURCHASE AND SALE OF QUOTED SECURITIES</t>
  </si>
  <si>
    <t>Total purchases</t>
  </si>
  <si>
    <t>Total disposals</t>
  </si>
  <si>
    <t>Total profit/(loss) on disposal</t>
  </si>
  <si>
    <t>Total investment at cost</t>
  </si>
  <si>
    <t>Total investment at carrying value/book value</t>
  </si>
  <si>
    <t>(after provisioning for diminution in value)</t>
  </si>
  <si>
    <t>Total investment at market value</t>
  </si>
  <si>
    <t>The above disclosure is in respect of CAHB at the company level.</t>
  </si>
  <si>
    <t>PARTICULARS OF PURCHASE AND SALE OF UNQUOTED INVESTMENTS AND/OR PROPERTIES</t>
  </si>
  <si>
    <t>-  Demand deposits</t>
  </si>
  <si>
    <t>-  Saving deposits</t>
  </si>
  <si>
    <t>-  Fixed deposits</t>
  </si>
  <si>
    <t>-  Negotiable instruments of deposits</t>
  </si>
  <si>
    <t>-  Others</t>
  </si>
  <si>
    <t>Fixed deposits and negotiable instruments of deposits</t>
  </si>
  <si>
    <t>Bonds and notes*</t>
  </si>
  <si>
    <t>* Including in bonds and notes for the current period is USD denominated bonds equivalent to USD780,000.</t>
  </si>
  <si>
    <t>Irredeemable Convertible Unsecured Loans Stocks</t>
  </si>
  <si>
    <t>Loans Stocks</t>
  </si>
  <si>
    <t>Unsecured</t>
  </si>
  <si>
    <t>Equity related contracts</t>
  </si>
  <si>
    <t>Credit derivatives</t>
  </si>
  <si>
    <t>Margin</t>
  </si>
  <si>
    <t>require-</t>
  </si>
  <si>
    <t>ments</t>
  </si>
  <si>
    <t>- futures</t>
  </si>
  <si>
    <t>MATERIAL LITIGATION</t>
  </si>
  <si>
    <t>COMPUTATION OF EARNINGS PER SHARE (EPS)</t>
  </si>
  <si>
    <t>Basic earnings per share (expressed in sen per share)</t>
  </si>
  <si>
    <t>BASIS OF PREPARATION OF THE FINANCIAL STATEMENTS</t>
  </si>
  <si>
    <t>a) Basic EPS</t>
  </si>
  <si>
    <t>b) Diluted EPS</t>
  </si>
  <si>
    <t>Adjustments for:</t>
  </si>
  <si>
    <t>Merchant banking</t>
  </si>
  <si>
    <t>Stock and sharebroking</t>
  </si>
  <si>
    <t>Discount House</t>
  </si>
  <si>
    <t>Insurance</t>
  </si>
  <si>
    <t>Investment holdings &amp; others</t>
  </si>
  <si>
    <t>Classification of non-performing loans</t>
  </si>
  <si>
    <t>Sub-standard</t>
  </si>
  <si>
    <t>Doubtful</t>
  </si>
  <si>
    <t>Bad debts</t>
  </si>
  <si>
    <t xml:space="preserve">Net non-performing loans </t>
  </si>
  <si>
    <t>Total laons and advances (net of SP and IIS)</t>
  </si>
  <si>
    <t>(as % of total loans and advances less SP and IIS)</t>
  </si>
  <si>
    <t>COMMERCE ASSET-HOLDING BERHAD</t>
  </si>
  <si>
    <t>Securities purchased under resale agreements</t>
  </si>
  <si>
    <t>Associated companies</t>
  </si>
  <si>
    <t>Goodwill on consolidation</t>
  </si>
  <si>
    <t>Loan stocks</t>
  </si>
  <si>
    <t>Bonds</t>
  </si>
  <si>
    <t>Minority interest</t>
  </si>
  <si>
    <t>Less: Treasury shares at cost</t>
  </si>
  <si>
    <t>GROUP</t>
  </si>
  <si>
    <t>QUARTER ENDED</t>
  </si>
  <si>
    <t>CUMULATIVE ENDED</t>
  </si>
  <si>
    <t>Share of profit of associated companies</t>
  </si>
  <si>
    <t>Earnings per share (sen)- Basic</t>
  </si>
  <si>
    <t>Net profit before taxation</t>
  </si>
  <si>
    <t>Taxation paid</t>
  </si>
  <si>
    <t>Interest paid</t>
  </si>
  <si>
    <t>Net cash used in investing activities</t>
  </si>
  <si>
    <t>Net increase in cash and cash equivalents during the financial year</t>
  </si>
  <si>
    <t>Cash and cash equivalents at beginning of the financial year</t>
  </si>
  <si>
    <t>The Group</t>
  </si>
  <si>
    <t>Non-distributable</t>
  </si>
  <si>
    <t>Distributable</t>
  </si>
  <si>
    <t xml:space="preserve">Capital </t>
  </si>
  <si>
    <t>reserve</t>
  </si>
  <si>
    <t>Exchange</t>
  </si>
  <si>
    <t>Share</t>
  </si>
  <si>
    <t>Statutory</t>
  </si>
  <si>
    <t>Merger</t>
  </si>
  <si>
    <t>arising on</t>
  </si>
  <si>
    <t>fluctuation</t>
  </si>
  <si>
    <t>Retained</t>
  </si>
  <si>
    <t>Treasury</t>
  </si>
  <si>
    <t>capital</t>
  </si>
  <si>
    <t>premium</t>
  </si>
  <si>
    <t>consolidation</t>
  </si>
  <si>
    <t>profit</t>
  </si>
  <si>
    <t>shares</t>
  </si>
  <si>
    <t>At 1 January 2002</t>
  </si>
  <si>
    <t>As previously stated:</t>
  </si>
  <si>
    <t>Prior year adjustment</t>
  </si>
  <si>
    <t>As restated</t>
  </si>
  <si>
    <t>Currency translation difference</t>
  </si>
  <si>
    <t>Net gains and losses not</t>
  </si>
  <si>
    <t xml:space="preserve">  recognised in the income</t>
  </si>
  <si>
    <t xml:space="preserve">  statement</t>
  </si>
  <si>
    <t>Net profit for the financial year</t>
  </si>
  <si>
    <t>Transfer to statutory reserve</t>
  </si>
  <si>
    <t>Underprovision for dividends FYE 2001</t>
  </si>
  <si>
    <t>Dividends for the FYE 2001</t>
  </si>
  <si>
    <t>Issue of share capital arising from:</t>
  </si>
  <si>
    <t>-Exercise of ESOS</t>
  </si>
  <si>
    <t>-Conversion of warrants</t>
  </si>
  <si>
    <t>Net changes in treasury shares</t>
  </si>
  <si>
    <t>At 30 June 2002</t>
  </si>
  <si>
    <t>Trading and</t>
  </si>
  <si>
    <t>principal</t>
  </si>
  <si>
    <t>investments</t>
  </si>
  <si>
    <t>Other</t>
  </si>
  <si>
    <t>operations</t>
  </si>
  <si>
    <t>Quarter</t>
  </si>
  <si>
    <t>Cumulative</t>
  </si>
  <si>
    <t>Major components of tax expense:</t>
  </si>
  <si>
    <t>Current tax expense</t>
  </si>
  <si>
    <t>Deferred tax expense</t>
  </si>
  <si>
    <t>Reconciliation</t>
  </si>
  <si>
    <t>Tax at statutory income tax rate of 28%</t>
  </si>
  <si>
    <t xml:space="preserve">CONDENSED UNAUDITED CONSOLIDATED INCOME STATEMENTS </t>
  </si>
  <si>
    <t xml:space="preserve">CONDENSED UNAUDITED CONSOLIDATED CASH FLOW STATEMENTS </t>
  </si>
  <si>
    <t>CONDENSED UNAUDITED CONSOLIDATED STATEMENT OF CHANGES IN EQUITY</t>
  </si>
  <si>
    <t>CONDENSED UNAUDITED CONSOLIDATED BALANCE SHEET AS AT 30 SEPTEMBER 2002</t>
  </si>
  <si>
    <t>30/09/2002</t>
  </si>
  <si>
    <t>-Bonus issue</t>
  </si>
  <si>
    <t>30/09/2001</t>
  </si>
  <si>
    <t>Arising from accretion of equity interests in subsidiary</t>
  </si>
  <si>
    <t xml:space="preserve">Foreign exchange related contracts </t>
  </si>
  <si>
    <t xml:space="preserve">Interest rate related contracts </t>
  </si>
  <si>
    <t>Finance and</t>
  </si>
  <si>
    <t>Hire purchase</t>
  </si>
  <si>
    <t>Amount transferred from subsidiary</t>
  </si>
  <si>
    <t>FOR THE NINE MONTHS PERIOD ENDED 30 SEPTEMBER 2002</t>
  </si>
  <si>
    <t>Balance as at 30 September/31 December</t>
  </si>
  <si>
    <t>Third quarter ended</t>
  </si>
  <si>
    <t>Nine-months period ended</t>
  </si>
  <si>
    <t>Cashflow from Operating Activities</t>
  </si>
  <si>
    <t>Fixed assets written off</t>
  </si>
  <si>
    <t>Gain on disposal of investment secutities</t>
  </si>
  <si>
    <t>Provision for bad and doubtful debts and financing</t>
  </si>
  <si>
    <t>Provision for interest in suspense</t>
  </si>
  <si>
    <t>Write down on dealing securities</t>
  </si>
  <si>
    <t>Unrealised foreign exchange loss/ (gain)</t>
  </si>
  <si>
    <t>Provision for diminution in value of investment securities</t>
  </si>
  <si>
    <t>Amortisation of premium less accretion of discount</t>
  </si>
  <si>
    <t>Dividend from investment securities</t>
  </si>
  <si>
    <t>Provision for amount recoverable from Danaharta</t>
  </si>
  <si>
    <t>Goodwill amortised</t>
  </si>
  <si>
    <t>Interest on short term borrowing</t>
  </si>
  <si>
    <t>(Increase)/Decrease in operating assets</t>
  </si>
  <si>
    <t>Deposits and placement with banks and other financial institutions</t>
  </si>
  <si>
    <t>Dealing Securities</t>
  </si>
  <si>
    <t>Loans ,  advances and financing</t>
  </si>
  <si>
    <t>Statutory deposit with Bank Negara Malaysia</t>
  </si>
  <si>
    <t>Increase/(Decrease) in operating liabilities</t>
  </si>
  <si>
    <t>Deposits and placement of banks and other financial institutions</t>
  </si>
  <si>
    <t>Securities sold under repurchase agreements</t>
  </si>
  <si>
    <t>Amount due to Cagamas Berhad</t>
  </si>
  <si>
    <t>Bills &amp; Acceptance payable</t>
  </si>
  <si>
    <t>Cash flows from operation</t>
  </si>
  <si>
    <t>Cash flow from/(used in) investing activities</t>
  </si>
  <si>
    <t>Investment in associate</t>
  </si>
  <si>
    <t>Purchase of fixed assets</t>
  </si>
  <si>
    <t>Cash flow from/(used in) financing activities</t>
  </si>
  <si>
    <t>Payment of dividends</t>
  </si>
  <si>
    <t>Issuance of share capital</t>
  </si>
  <si>
    <t>Purchase of treasury shares</t>
  </si>
  <si>
    <t>Effects of exchange rate changes on cash</t>
  </si>
  <si>
    <t>Cash and cash equivalents at end of the financial year</t>
  </si>
  <si>
    <t>Gain on disposal of fixed assets</t>
  </si>
  <si>
    <t>Dividends paid to minority interest</t>
  </si>
  <si>
    <t>Payment of bonds</t>
  </si>
  <si>
    <t>Proceeds from issuance of loan stocks</t>
  </si>
  <si>
    <t>Proceed on disposal of fixed assets</t>
  </si>
  <si>
    <t>Proceeds on disposal of investment securities</t>
  </si>
  <si>
    <t>Net interest income</t>
  </si>
  <si>
    <t>Total net interest income</t>
  </si>
  <si>
    <t>Loan loss provision</t>
  </si>
  <si>
    <t>Overhead expenses</t>
  </si>
  <si>
    <t>SEGMENTAL REPORTING BY ANALYSIS</t>
  </si>
  <si>
    <t xml:space="preserve">SEGMENTAL REPORTING ON LOANS AND ADVANCES ANALYSED BY THEIR ECONOMIC </t>
  </si>
  <si>
    <t>PURPOSES</t>
  </si>
  <si>
    <t>30/09/2002*</t>
  </si>
  <si>
    <t>30 September 2002*</t>
  </si>
  <si>
    <t>do not have readily available data  for such corresponding period.</t>
  </si>
  <si>
    <t xml:space="preserve"> Utilisation of tax losses brought forward and certain expenses which are</t>
  </si>
  <si>
    <t>not deductible for tax purposes.</t>
  </si>
  <si>
    <t>Share of results of associates</t>
  </si>
  <si>
    <t>Net cash flow from operating activities</t>
  </si>
  <si>
    <t>Net cash flow from financing activities</t>
  </si>
  <si>
    <t>* No preceding comparative figures is provided in view of the waiver granted by KLSE for enterprise which</t>
  </si>
  <si>
    <t>* No preceding comparative figures is provided in view of the waiver granted by KLSE for enterprise which do not have readily available data for such corresponding period.</t>
  </si>
  <si>
    <t xml:space="preserve">COMMENTS ON AUDIT QUALIFICATION OF THE PRECEDING ANNUAL FINANCIAL STATEMENTS </t>
  </si>
  <si>
    <t>VARIATION FROM FINANCIAL ESTIMATES REPORTED IN PRECEDING PERIOD/FINANCIAL YEARS</t>
  </si>
  <si>
    <t>A1.</t>
  </si>
  <si>
    <t>A2.</t>
  </si>
  <si>
    <t>A3.</t>
  </si>
  <si>
    <t>A4.</t>
  </si>
  <si>
    <t>A5.</t>
  </si>
  <si>
    <t>A6.</t>
  </si>
  <si>
    <t>A7.</t>
  </si>
  <si>
    <t>A8.</t>
  </si>
  <si>
    <t>A9a</t>
  </si>
  <si>
    <t>A9b</t>
  </si>
  <si>
    <t>A9c</t>
  </si>
  <si>
    <t>A10.</t>
  </si>
  <si>
    <t>A11.</t>
  </si>
  <si>
    <t>A12.</t>
  </si>
  <si>
    <t>B1.</t>
  </si>
  <si>
    <t>A13.</t>
  </si>
  <si>
    <t>B2.</t>
  </si>
  <si>
    <t>B3.</t>
  </si>
  <si>
    <t>B4.</t>
  </si>
  <si>
    <t>B5.</t>
  </si>
  <si>
    <t>B6.</t>
  </si>
  <si>
    <t>B7.</t>
  </si>
  <si>
    <t>B8.</t>
  </si>
  <si>
    <t>B9.</t>
  </si>
  <si>
    <t>B10.</t>
  </si>
  <si>
    <t>TAXATION</t>
  </si>
  <si>
    <t>B11.</t>
  </si>
  <si>
    <t>VARIANCE ON PROFIT FORECAST AND SHORTFALL IN PROFIT GUARANTEE</t>
  </si>
  <si>
    <t>B12.</t>
  </si>
  <si>
    <t>DIVIDEND PAID</t>
  </si>
  <si>
    <t xml:space="preserve">PROPOSED DIVIDEND </t>
  </si>
  <si>
    <t>Elimination of interest expense on 1.75% Redeemable</t>
  </si>
  <si>
    <t xml:space="preserve">  Euro-Convertible Bonds (net of tax effect)</t>
  </si>
  <si>
    <t>Net profit used to determine diluted EPS</t>
  </si>
  <si>
    <t>- Bonus element on conversion of Redeemable Euro-Convertible Bonds</t>
  </si>
  <si>
    <t>Weighted average number of ordinary shares for diluted EPS</t>
  </si>
  <si>
    <t>Diluted EPS</t>
  </si>
  <si>
    <t>Diluted earnings per share</t>
  </si>
  <si>
    <t>Net profit for the financial period after minority interests (RM '000)</t>
  </si>
  <si>
    <t>Weighted average number of ordinary shares in issue ( '000)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</si>
</sst>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_)\ ;\(#,##0\)\ "/>
    <numFmt numFmtId="170" formatCode="#,##0.00_)\ ;\(#,##0.00\)\ "/>
    <numFmt numFmtId="171" formatCode="#,##0.0_);\(#,##0.0\)"/>
    <numFmt numFmtId="172" formatCode="0.00_)"/>
    <numFmt numFmtId="173" formatCode="0.0"/>
    <numFmt numFmtId="174" formatCode="_(* #,##0.000_);_(* \(#,##0.000\);_(* &quot;-&quot;???_);_(@_)"/>
    <numFmt numFmtId="175" formatCode="_(* #,##0.0_);_(* \(#,##0.0\);_(* &quot;-&quot;?_);_(@_)"/>
    <numFmt numFmtId="176" formatCode="_(* #,##0.00000_);_(* \(#,##0.00000\);_(* &quot;-&quot;?????_);_(@_)"/>
    <numFmt numFmtId="177" formatCode="_(* #,##0.000_);_(* \(#,##0.000\);_(* &quot;-&quot;??_);_(@_)"/>
    <numFmt numFmtId="178" formatCode="_(* #,##0.0000_);_(* \(#,##0.0000\);_(* &quot;-&quot;??_);_(@_)"/>
    <numFmt numFmtId="179" formatCode="_(* #,##0.00000_);_(* \(#,##0.00000\);_(* &quot;-&quot;??_);_(@_)"/>
    <numFmt numFmtId="180" formatCode="_(* #,##0.000000_);_(* \(#,##0.000000\);_(* &quot;-&quot;??_);_(@_)"/>
    <numFmt numFmtId="181" formatCode="0.0000000"/>
    <numFmt numFmtId="182" formatCode="0.000000"/>
    <numFmt numFmtId="183" formatCode="0.00000"/>
    <numFmt numFmtId="184" formatCode="0.0000"/>
    <numFmt numFmtId="185" formatCode="0.000"/>
    <numFmt numFmtId="186" formatCode="m/d/yyyy"/>
    <numFmt numFmtId="187" formatCode="_ * #,##0_ ;_ * \-#,##0_ ;_ * &quot;-&quot;??_ ;_ @_ "/>
    <numFmt numFmtId="188" formatCode="#,##0.000"/>
  </numFmts>
  <fonts count="21">
    <font>
      <sz val="10"/>
      <name val="Arial"/>
      <family val="0"/>
    </font>
    <font>
      <b/>
      <sz val="11"/>
      <name val="Arial"/>
      <family val="2"/>
    </font>
    <font>
      <b/>
      <u val="single"/>
      <sz val="11"/>
      <name val="Arial"/>
      <family val="2"/>
    </font>
    <font>
      <b/>
      <sz val="11"/>
      <color indexed="8"/>
      <name val="Arial"/>
      <family val="2"/>
    </font>
    <font>
      <sz val="12"/>
      <color indexed="8"/>
      <name val="Arial"/>
      <family val="2"/>
    </font>
    <font>
      <sz val="10"/>
      <color indexed="8"/>
      <name val="Arial"/>
      <family val="2"/>
    </font>
    <font>
      <b/>
      <sz val="10"/>
      <color indexed="8"/>
      <name val="Arial"/>
      <family val="2"/>
    </font>
    <font>
      <b/>
      <sz val="10"/>
      <name val="Arial"/>
      <family val="2"/>
    </font>
    <font>
      <b/>
      <u val="single"/>
      <sz val="10"/>
      <name val="Arial"/>
      <family val="2"/>
    </font>
    <font>
      <b/>
      <sz val="12"/>
      <color indexed="8"/>
      <name val="Arial"/>
      <family val="2"/>
    </font>
    <font>
      <u val="single"/>
      <sz val="10"/>
      <color indexed="8"/>
      <name val="Arial"/>
      <family val="2"/>
    </font>
    <font>
      <b/>
      <sz val="12"/>
      <name val="Arial"/>
      <family val="2"/>
    </font>
    <font>
      <sz val="11"/>
      <name val="Arial"/>
      <family val="2"/>
    </font>
    <font>
      <sz val="12"/>
      <name val="Arial"/>
      <family val="2"/>
    </font>
    <font>
      <u val="single"/>
      <sz val="10"/>
      <name val="Arial"/>
      <family val="2"/>
    </font>
    <font>
      <sz val="10"/>
      <color indexed="10"/>
      <name val="Arial"/>
      <family val="2"/>
    </font>
    <font>
      <b/>
      <sz val="12"/>
      <name val="Garamond"/>
      <family val="1"/>
    </font>
    <font>
      <sz val="8"/>
      <name val="Arial"/>
      <family val="0"/>
    </font>
    <font>
      <b/>
      <sz val="8"/>
      <name val="Arial"/>
      <family val="2"/>
    </font>
    <font>
      <b/>
      <sz val="8"/>
      <name val="Garamond"/>
      <family val="1"/>
    </font>
    <font>
      <b/>
      <i/>
      <sz val="10"/>
      <name val="Arial"/>
      <family val="2"/>
    </font>
  </fonts>
  <fills count="2">
    <fill>
      <patternFill/>
    </fill>
    <fill>
      <patternFill patternType="gray125"/>
    </fill>
  </fills>
  <borders count="18">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color indexed="8"/>
      </top>
      <bottom style="medium">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0" fillId="0" borderId="0" xfId="0" applyFont="1" applyAlignment="1">
      <alignment/>
    </xf>
    <xf numFmtId="37" fontId="3"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5" fillId="0" borderId="0" xfId="0" applyNumberFormat="1" applyFont="1" applyAlignment="1" applyProtection="1">
      <alignment/>
      <protection/>
    </xf>
    <xf numFmtId="37" fontId="6" fillId="0" borderId="0" xfId="0" applyNumberFormat="1" applyFont="1" applyAlignment="1" applyProtection="1">
      <alignment horizontal="center"/>
      <protection/>
    </xf>
    <xf numFmtId="0" fontId="7" fillId="0" borderId="0" xfId="0" applyFont="1" applyAlignment="1">
      <alignment horizontal="left"/>
    </xf>
    <xf numFmtId="14" fontId="8" fillId="0" borderId="0" xfId="0" applyNumberFormat="1" applyFont="1" applyAlignment="1">
      <alignment horizontal="center"/>
    </xf>
    <xf numFmtId="0" fontId="7" fillId="0" borderId="0" xfId="0" applyFont="1" applyAlignment="1">
      <alignment horizontal="center"/>
    </xf>
    <xf numFmtId="0" fontId="0" fillId="0" borderId="0" xfId="0" applyFont="1" applyAlignment="1">
      <alignment horizontal="left"/>
    </xf>
    <xf numFmtId="164" fontId="0" fillId="0" borderId="0" xfId="15" applyNumberFormat="1" applyFont="1" applyAlignment="1">
      <alignment horizontal="center"/>
    </xf>
    <xf numFmtId="0" fontId="0" fillId="0" borderId="0" xfId="0" applyFont="1" applyAlignment="1">
      <alignment horizontal="center"/>
    </xf>
    <xf numFmtId="164" fontId="5" fillId="0" borderId="0" xfId="15" applyNumberFormat="1" applyFont="1" applyAlignment="1" applyProtection="1">
      <alignment/>
      <protection/>
    </xf>
    <xf numFmtId="0" fontId="0" fillId="0" borderId="0" xfId="0" applyFont="1" applyBorder="1" applyAlignment="1">
      <alignment horizontal="center"/>
    </xf>
    <xf numFmtId="0" fontId="7" fillId="0" borderId="0" xfId="0" applyFont="1" applyBorder="1" applyAlignment="1">
      <alignment horizontal="center"/>
    </xf>
    <xf numFmtId="164" fontId="0" fillId="0" borderId="0" xfId="15" applyNumberFormat="1" applyFont="1" applyAlignment="1">
      <alignment/>
    </xf>
    <xf numFmtId="164" fontId="0" fillId="0" borderId="0" xfId="15" applyNumberFormat="1" applyFont="1" applyBorder="1" applyAlignment="1">
      <alignment/>
    </xf>
    <xf numFmtId="164" fontId="6" fillId="0" borderId="0" xfId="15" applyNumberFormat="1" applyFont="1" applyAlignment="1" applyProtection="1">
      <alignment/>
      <protection/>
    </xf>
    <xf numFmtId="164" fontId="6" fillId="0" borderId="1" xfId="15" applyNumberFormat="1" applyFont="1" applyBorder="1" applyAlignment="1" applyProtection="1">
      <alignment/>
      <protection/>
    </xf>
    <xf numFmtId="0" fontId="7" fillId="0" borderId="0" xfId="0" applyFont="1" applyAlignment="1">
      <alignment horizontal="justify"/>
    </xf>
    <xf numFmtId="164" fontId="6" fillId="0" borderId="2" xfId="15" applyNumberFormat="1" applyFont="1" applyBorder="1" applyAlignment="1" applyProtection="1">
      <alignment/>
      <protection/>
    </xf>
    <xf numFmtId="37" fontId="4" fillId="0" borderId="0" xfId="0" applyNumberFormat="1" applyFont="1" applyBorder="1" applyAlignment="1" applyProtection="1">
      <alignment/>
      <protection/>
    </xf>
    <xf numFmtId="164" fontId="9" fillId="0" borderId="0" xfId="15" applyNumberFormat="1" applyFont="1" applyAlignment="1" applyProtection="1">
      <alignment/>
      <protection/>
    </xf>
    <xf numFmtId="0" fontId="0" fillId="0" borderId="0" xfId="0" applyFont="1" applyBorder="1" applyAlignment="1">
      <alignment horizontal="left"/>
    </xf>
    <xf numFmtId="10" fontId="6" fillId="0" borderId="0" xfId="19" applyNumberFormat="1" applyFont="1" applyAlignment="1" applyProtection="1">
      <alignment/>
      <protection/>
    </xf>
    <xf numFmtId="10" fontId="5" fillId="0" borderId="0" xfId="19" applyNumberFormat="1" applyFont="1" applyAlignment="1" applyProtection="1">
      <alignment/>
      <protection/>
    </xf>
    <xf numFmtId="37" fontId="6" fillId="0" borderId="0" xfId="0" applyNumberFormat="1" applyFont="1" applyAlignment="1" applyProtection="1">
      <alignment/>
      <protection/>
    </xf>
    <xf numFmtId="37" fontId="10" fillId="0" borderId="0" xfId="0" applyNumberFormat="1" applyFont="1" applyAlignment="1" applyProtection="1">
      <alignment/>
      <protection/>
    </xf>
    <xf numFmtId="0" fontId="0" fillId="0" borderId="0" xfId="0" applyFont="1" applyBorder="1" applyAlignment="1">
      <alignment/>
    </xf>
    <xf numFmtId="0" fontId="7"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1" fillId="0" borderId="0" xfId="0" applyFont="1" applyAlignment="1">
      <alignment horizontal="centerContinuous"/>
    </xf>
    <xf numFmtId="0" fontId="11" fillId="0" borderId="0" xfId="0" applyFont="1" applyAlignment="1">
      <alignment horizontal="centerContinuous"/>
    </xf>
    <xf numFmtId="38" fontId="0" fillId="0" borderId="0" xfId="15" applyNumberFormat="1" applyFont="1" applyAlignment="1">
      <alignment horizontal="right"/>
    </xf>
    <xf numFmtId="38" fontId="0" fillId="0" borderId="3" xfId="15" applyNumberFormat="1" applyFont="1" applyBorder="1" applyAlignment="1">
      <alignment horizontal="right"/>
    </xf>
    <xf numFmtId="38" fontId="0" fillId="0" borderId="0" xfId="15" applyNumberFormat="1" applyFont="1" applyBorder="1" applyAlignment="1">
      <alignment horizontal="right"/>
    </xf>
    <xf numFmtId="0" fontId="0" fillId="0" borderId="0" xfId="0" applyBorder="1" applyAlignment="1">
      <alignment/>
    </xf>
    <xf numFmtId="38" fontId="0" fillId="0" borderId="4" xfId="15" applyNumberFormat="1" applyFont="1" applyBorder="1" applyAlignment="1">
      <alignment horizontal="right"/>
    </xf>
    <xf numFmtId="3" fontId="0" fillId="0" borderId="0" xfId="0" applyNumberFormat="1" applyFont="1" applyAlignment="1">
      <alignment/>
    </xf>
    <xf numFmtId="3" fontId="0" fillId="0" borderId="0" xfId="0" applyNumberFormat="1" applyFont="1" applyBorder="1" applyAlignment="1">
      <alignment/>
    </xf>
    <xf numFmtId="165" fontId="0" fillId="0" borderId="0" xfId="0" applyNumberFormat="1" applyFont="1" applyBorder="1" applyAlignment="1">
      <alignment/>
    </xf>
    <xf numFmtId="165" fontId="0" fillId="0" borderId="5" xfId="0" applyNumberFormat="1" applyFont="1" applyBorder="1" applyAlignment="1">
      <alignment/>
    </xf>
    <xf numFmtId="37" fontId="12" fillId="0" borderId="0" xfId="0" applyNumberFormat="1" applyFont="1" applyAlignment="1">
      <alignment/>
    </xf>
    <xf numFmtId="0" fontId="12" fillId="0" borderId="0" xfId="0" applyFont="1" applyAlignment="1">
      <alignment/>
    </xf>
    <xf numFmtId="0" fontId="2" fillId="0" borderId="0" xfId="0" applyFont="1" applyAlignment="1">
      <alignment/>
    </xf>
    <xf numFmtId="0" fontId="7" fillId="0" borderId="3" xfId="0" applyFont="1" applyBorder="1" applyAlignment="1">
      <alignment horizontal="center"/>
    </xf>
    <xf numFmtId="164" fontId="7" fillId="0" borderId="3" xfId="15" applyNumberFormat="1" applyFont="1" applyBorder="1" applyAlignment="1">
      <alignment horizontal="center"/>
    </xf>
    <xf numFmtId="164" fontId="0" fillId="0" borderId="2" xfId="15" applyNumberFormat="1" applyFont="1" applyBorder="1" applyAlignment="1">
      <alignment/>
    </xf>
    <xf numFmtId="0" fontId="7" fillId="0" borderId="0" xfId="0" applyFont="1" applyAlignment="1" quotePrefix="1">
      <alignment/>
    </xf>
    <xf numFmtId="0" fontId="0" fillId="0" borderId="6" xfId="0" applyFont="1" applyBorder="1" applyAlignment="1">
      <alignment/>
    </xf>
    <xf numFmtId="0" fontId="0" fillId="0" borderId="3" xfId="0" applyFont="1" applyBorder="1" applyAlignment="1">
      <alignment/>
    </xf>
    <xf numFmtId="0" fontId="0" fillId="0" borderId="7" xfId="0" applyFont="1" applyBorder="1" applyAlignment="1">
      <alignment/>
    </xf>
    <xf numFmtId="0" fontId="0" fillId="0" borderId="0" xfId="0" applyFont="1" applyAlignment="1" quotePrefix="1">
      <alignment/>
    </xf>
    <xf numFmtId="0" fontId="7" fillId="0" borderId="0" xfId="0" applyFont="1" applyBorder="1" applyAlignment="1">
      <alignment/>
    </xf>
    <xf numFmtId="0" fontId="0" fillId="0" borderId="0" xfId="0" applyFont="1" applyBorder="1" applyAlignment="1" applyProtection="1">
      <alignment/>
      <protection/>
    </xf>
    <xf numFmtId="37" fontId="7" fillId="0" borderId="0" xfId="0" applyNumberFormat="1" applyFont="1" applyBorder="1" applyAlignment="1" applyProtection="1">
      <alignment horizontal="center"/>
      <protection/>
    </xf>
    <xf numFmtId="37" fontId="7" fillId="0" borderId="3" xfId="0" applyNumberFormat="1" applyFont="1" applyBorder="1" applyAlignment="1" applyProtection="1">
      <alignment horizontal="center"/>
      <protection/>
    </xf>
    <xf numFmtId="166" fontId="0" fillId="0" borderId="0" xfId="0" applyNumberFormat="1" applyFont="1" applyBorder="1" applyAlignment="1" applyProtection="1">
      <alignment/>
      <protection/>
    </xf>
    <xf numFmtId="166" fontId="13" fillId="0" borderId="0" xfId="0" applyNumberFormat="1" applyFont="1" applyBorder="1" applyAlignment="1" applyProtection="1">
      <alignment/>
      <protection/>
    </xf>
    <xf numFmtId="164" fontId="0" fillId="0" borderId="0" xfId="15" applyNumberFormat="1" applyFont="1" applyBorder="1" applyAlignment="1" applyProtection="1">
      <alignment/>
      <protection/>
    </xf>
    <xf numFmtId="164" fontId="0" fillId="0" borderId="0" xfId="15" applyNumberFormat="1" applyFont="1" applyFill="1" applyBorder="1" applyAlignment="1" applyProtection="1">
      <alignment/>
      <protection locked="0"/>
    </xf>
    <xf numFmtId="0" fontId="0" fillId="0" borderId="0" xfId="0" applyFont="1" applyBorder="1" applyAlignment="1" applyProtection="1">
      <alignment/>
      <protection locked="0"/>
    </xf>
    <xf numFmtId="164" fontId="7" fillId="0" borderId="0" xfId="15" applyNumberFormat="1" applyFont="1" applyAlignment="1">
      <alignment/>
    </xf>
    <xf numFmtId="164" fontId="7" fillId="0" borderId="0" xfId="15" applyNumberFormat="1" applyFont="1" applyBorder="1" applyAlignment="1">
      <alignment/>
    </xf>
    <xf numFmtId="164" fontId="7" fillId="0" borderId="0" xfId="15" applyNumberFormat="1" applyFont="1" applyBorder="1" applyAlignment="1" applyProtection="1">
      <alignment/>
      <protection/>
    </xf>
    <xf numFmtId="164" fontId="7" fillId="0" borderId="0" xfId="15" applyNumberFormat="1" applyFont="1" applyFill="1" applyBorder="1" applyAlignment="1" applyProtection="1">
      <alignment/>
      <protection locked="0"/>
    </xf>
    <xf numFmtId="166" fontId="7" fillId="0" borderId="0" xfId="0" applyNumberFormat="1" applyFont="1" applyBorder="1" applyAlignment="1" applyProtection="1">
      <alignment/>
      <protection/>
    </xf>
    <xf numFmtId="166" fontId="7" fillId="0" borderId="2" xfId="0" applyNumberFormat="1" applyFont="1" applyBorder="1" applyAlignment="1" applyProtection="1">
      <alignment/>
      <protection/>
    </xf>
    <xf numFmtId="166" fontId="0" fillId="0" borderId="2" xfId="0" applyNumberFormat="1" applyFont="1" applyBorder="1" applyAlignment="1" applyProtection="1">
      <alignment/>
      <protection/>
    </xf>
    <xf numFmtId="164" fontId="7" fillId="0" borderId="2" xfId="15" applyNumberFormat="1"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1" xfId="0" applyFont="1" applyBorder="1" applyAlignment="1" quotePrefix="1">
      <alignment/>
    </xf>
    <xf numFmtId="164" fontId="0" fillId="0" borderId="7" xfId="15" applyNumberFormat="1" applyFont="1" applyBorder="1" applyAlignment="1">
      <alignment/>
    </xf>
    <xf numFmtId="164" fontId="0" fillId="0" borderId="11" xfId="15" applyNumberFormat="1" applyFont="1" applyBorder="1" applyAlignment="1">
      <alignment/>
    </xf>
    <xf numFmtId="164" fontId="0" fillId="0" borderId="7" xfId="0" applyNumberFormat="1" applyFont="1" applyBorder="1" applyAlignment="1">
      <alignment/>
    </xf>
    <xf numFmtId="0" fontId="14" fillId="0" borderId="0" xfId="0" applyFont="1" applyAlignment="1">
      <alignment/>
    </xf>
    <xf numFmtId="0" fontId="7" fillId="0" borderId="11" xfId="0" applyFont="1" applyBorder="1" applyAlignment="1">
      <alignment/>
    </xf>
    <xf numFmtId="164" fontId="7" fillId="0" borderId="7" xfId="0" applyNumberFormat="1" applyFont="1" applyBorder="1" applyAlignment="1">
      <alignment/>
    </xf>
    <xf numFmtId="164" fontId="7" fillId="0" borderId="11" xfId="0" applyNumberFormat="1" applyFont="1" applyBorder="1" applyAlignment="1">
      <alignment/>
    </xf>
    <xf numFmtId="38" fontId="0" fillId="0" borderId="2" xfId="15" applyNumberFormat="1" applyFont="1" applyBorder="1" applyAlignment="1">
      <alignment horizontal="right"/>
    </xf>
    <xf numFmtId="0" fontId="12" fillId="0" borderId="0" xfId="0" applyFont="1" applyBorder="1" applyAlignment="1">
      <alignment horizontal="center"/>
    </xf>
    <xf numFmtId="38" fontId="7" fillId="0" borderId="0" xfId="15" applyNumberFormat="1" applyFont="1" applyBorder="1" applyAlignment="1">
      <alignment horizontal="right"/>
    </xf>
    <xf numFmtId="43" fontId="0" fillId="0" borderId="0" xfId="15" applyNumberFormat="1" applyFont="1" applyAlignment="1">
      <alignment/>
    </xf>
    <xf numFmtId="43" fontId="0" fillId="0" borderId="0" xfId="15" applyFont="1" applyAlignment="1">
      <alignment/>
    </xf>
    <xf numFmtId="15" fontId="7" fillId="0" borderId="0" xfId="0" applyNumberFormat="1" applyFont="1" applyBorder="1" applyAlignment="1">
      <alignment horizontal="right"/>
    </xf>
    <xf numFmtId="15" fontId="7" fillId="0" borderId="0" xfId="0" applyNumberFormat="1" applyFont="1" applyBorder="1" applyAlignment="1" quotePrefix="1">
      <alignment/>
    </xf>
    <xf numFmtId="15" fontId="7" fillId="0" borderId="0" xfId="0" applyNumberFormat="1" applyFont="1" applyFill="1" applyBorder="1" applyAlignment="1">
      <alignment/>
    </xf>
    <xf numFmtId="164" fontId="0" fillId="0" borderId="0" xfId="0" applyNumberFormat="1" applyFont="1" applyAlignment="1">
      <alignment/>
    </xf>
    <xf numFmtId="164" fontId="0" fillId="0" borderId="0" xfId="15" applyNumberFormat="1" applyFont="1" applyFill="1" applyBorder="1" applyAlignment="1">
      <alignment/>
    </xf>
    <xf numFmtId="38" fontId="0" fillId="0" borderId="0" xfId="0" applyNumberFormat="1" applyFont="1" applyAlignment="1">
      <alignment/>
    </xf>
    <xf numFmtId="164" fontId="7" fillId="0" borderId="0" xfId="0" applyNumberFormat="1" applyFont="1" applyBorder="1" applyAlignment="1">
      <alignment/>
    </xf>
    <xf numFmtId="164" fontId="0" fillId="0" borderId="3" xfId="15" applyNumberFormat="1" applyFont="1" applyBorder="1" applyAlignment="1">
      <alignment/>
    </xf>
    <xf numFmtId="164" fontId="7" fillId="0" borderId="2" xfId="0" applyNumberFormat="1" applyFont="1" applyBorder="1" applyAlignment="1">
      <alignment/>
    </xf>
    <xf numFmtId="15" fontId="0" fillId="0" borderId="0" xfId="0" applyNumberFormat="1" applyFont="1" applyBorder="1" applyAlignment="1">
      <alignment/>
    </xf>
    <xf numFmtId="15" fontId="0" fillId="0" borderId="0" xfId="0" applyNumberFormat="1" applyFont="1" applyBorder="1" applyAlignment="1" quotePrefix="1">
      <alignment/>
    </xf>
    <xf numFmtId="15" fontId="0" fillId="0" borderId="0" xfId="0" applyNumberFormat="1" applyFont="1" applyFill="1" applyBorder="1" applyAlignment="1">
      <alignment/>
    </xf>
    <xf numFmtId="0" fontId="7" fillId="0" borderId="8" xfId="0" applyFont="1" applyBorder="1" applyAlignment="1">
      <alignment horizontal="right"/>
    </xf>
    <xf numFmtId="0" fontId="7" fillId="0" borderId="3" xfId="0" applyFont="1" applyBorder="1" applyAlignment="1">
      <alignment horizontal="right"/>
    </xf>
    <xf numFmtId="38" fontId="7" fillId="0" borderId="3" xfId="15" applyNumberFormat="1" applyFont="1" applyBorder="1" applyAlignment="1">
      <alignment horizontal="right"/>
    </xf>
    <xf numFmtId="0" fontId="8" fillId="0" borderId="0" xfId="0" applyFont="1" applyBorder="1" applyAlignment="1">
      <alignment horizontal="center"/>
    </xf>
    <xf numFmtId="0" fontId="7" fillId="0" borderId="0" xfId="0" applyFont="1" applyBorder="1" applyAlignment="1">
      <alignment horizontal="right"/>
    </xf>
    <xf numFmtId="168" fontId="7" fillId="0" borderId="0" xfId="19" applyNumberFormat="1" applyFont="1" applyAlignment="1">
      <alignment/>
    </xf>
    <xf numFmtId="0" fontId="7" fillId="0" borderId="0" xfId="0" applyFont="1" applyBorder="1" applyAlignment="1" quotePrefix="1">
      <alignment horizontal="center"/>
    </xf>
    <xf numFmtId="0" fontId="7" fillId="0" borderId="0" xfId="0" applyFont="1" applyBorder="1" applyAlignment="1" quotePrefix="1">
      <alignment horizontal="centerContinuous"/>
    </xf>
    <xf numFmtId="0" fontId="7" fillId="0" borderId="0" xfId="0" applyFont="1" applyBorder="1" applyAlignment="1">
      <alignment horizontal="centerContinuous"/>
    </xf>
    <xf numFmtId="15" fontId="7" fillId="0" borderId="0" xfId="0" applyNumberFormat="1" applyFont="1" applyBorder="1" applyAlignment="1" quotePrefix="1">
      <alignment horizontal="center"/>
    </xf>
    <xf numFmtId="14" fontId="7" fillId="0" borderId="0" xfId="0" applyNumberFormat="1" applyFont="1" applyAlignment="1" quotePrefix="1">
      <alignment horizontal="center"/>
    </xf>
    <xf numFmtId="14" fontId="7" fillId="0" borderId="0" xfId="0" applyNumberFormat="1" applyFont="1" applyAlignment="1">
      <alignment horizontal="center"/>
    </xf>
    <xf numFmtId="0" fontId="7" fillId="0" borderId="0" xfId="0" applyFont="1" applyBorder="1" applyAlignment="1">
      <alignment horizontal="left"/>
    </xf>
    <xf numFmtId="38" fontId="7" fillId="0" borderId="0" xfId="15" applyNumberFormat="1" applyFont="1" applyAlignment="1">
      <alignment horizontal="right"/>
    </xf>
    <xf numFmtId="165" fontId="7" fillId="0" borderId="0" xfId="0" applyNumberFormat="1" applyFont="1" applyBorder="1" applyAlignment="1">
      <alignment/>
    </xf>
    <xf numFmtId="164" fontId="0" fillId="0" borderId="0" xfId="15" applyNumberFormat="1" applyFont="1" applyBorder="1" applyAlignment="1">
      <alignment horizontal="right"/>
    </xf>
    <xf numFmtId="164" fontId="0" fillId="0" borderId="0" xfId="15" applyNumberFormat="1" applyFont="1" applyBorder="1" applyAlignment="1">
      <alignment horizontal="center"/>
    </xf>
    <xf numFmtId="164" fontId="0" fillId="0" borderId="3" xfId="15" applyNumberFormat="1" applyFont="1" applyBorder="1" applyAlignment="1">
      <alignment horizontal="right"/>
    </xf>
    <xf numFmtId="0" fontId="7" fillId="0" borderId="12" xfId="0" applyFont="1" applyBorder="1" applyAlignment="1">
      <alignment horizontal="center"/>
    </xf>
    <xf numFmtId="0" fontId="7" fillId="0" borderId="9" xfId="0" applyFont="1" applyBorder="1" applyAlignment="1">
      <alignment horizontal="center"/>
    </xf>
    <xf numFmtId="0" fontId="7" fillId="0" borderId="7"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xf>
    <xf numFmtId="164" fontId="6" fillId="0" borderId="13" xfId="15" applyNumberFormat="1" applyFont="1" applyBorder="1" applyAlignment="1" applyProtection="1">
      <alignment/>
      <protection/>
    </xf>
    <xf numFmtId="164" fontId="6" fillId="0" borderId="14" xfId="15" applyNumberFormat="1" applyFont="1" applyBorder="1" applyAlignment="1" applyProtection="1">
      <alignment/>
      <protection/>
    </xf>
    <xf numFmtId="37" fontId="6" fillId="0" borderId="0" xfId="0" applyNumberFormat="1" applyFont="1" applyBorder="1" applyAlignment="1" applyProtection="1">
      <alignment/>
      <protection/>
    </xf>
    <xf numFmtId="164" fontId="6" fillId="0" borderId="5" xfId="15" applyNumberFormat="1" applyFont="1" applyBorder="1" applyAlignment="1" applyProtection="1">
      <alignment/>
      <protection/>
    </xf>
    <xf numFmtId="0" fontId="0" fillId="0" borderId="10" xfId="0" applyBorder="1" applyAlignment="1">
      <alignment/>
    </xf>
    <xf numFmtId="164" fontId="0" fillId="0" borderId="9" xfId="15" applyNumberFormat="1" applyBorder="1" applyAlignment="1">
      <alignment/>
    </xf>
    <xf numFmtId="164" fontId="0" fillId="0" borderId="11" xfId="15" applyNumberFormat="1" applyBorder="1" applyAlignment="1">
      <alignment/>
    </xf>
    <xf numFmtId="164" fontId="0" fillId="0" borderId="10" xfId="15" applyNumberFormat="1" applyBorder="1" applyAlignment="1">
      <alignment/>
    </xf>
    <xf numFmtId="0" fontId="0" fillId="0" borderId="0" xfId="0" applyFont="1" applyFill="1" applyBorder="1" applyAlignment="1" applyProtection="1">
      <alignment/>
      <protection/>
    </xf>
    <xf numFmtId="43" fontId="0" fillId="0" borderId="0" xfId="0" applyNumberFormat="1" applyFont="1" applyAlignment="1">
      <alignment/>
    </xf>
    <xf numFmtId="0" fontId="7" fillId="0" borderId="9" xfId="0" applyFont="1" applyFill="1" applyBorder="1" applyAlignment="1">
      <alignment horizontal="center"/>
    </xf>
    <xf numFmtId="0" fontId="0" fillId="0" borderId="11" xfId="0" applyBorder="1" applyAlignment="1">
      <alignment/>
    </xf>
    <xf numFmtId="0" fontId="0" fillId="0" borderId="9" xfId="0" applyBorder="1" applyAlignment="1">
      <alignment/>
    </xf>
    <xf numFmtId="43" fontId="0" fillId="0" borderId="11" xfId="15" applyBorder="1" applyAlignment="1">
      <alignment/>
    </xf>
    <xf numFmtId="0" fontId="7" fillId="0" borderId="0" xfId="0" applyFont="1" applyAlignment="1">
      <alignment horizontal="right"/>
    </xf>
    <xf numFmtId="164" fontId="7" fillId="0" borderId="4" xfId="15" applyNumberFormat="1" applyFont="1" applyBorder="1" applyAlignment="1">
      <alignment/>
    </xf>
    <xf numFmtId="164" fontId="0" fillId="0" borderId="0" xfId="15" applyNumberFormat="1" applyFont="1" applyFill="1" applyBorder="1" applyAlignment="1">
      <alignment/>
    </xf>
    <xf numFmtId="164" fontId="7" fillId="0" borderId="0" xfId="15" applyNumberFormat="1" applyFont="1" applyFill="1" applyBorder="1" applyAlignment="1">
      <alignment/>
    </xf>
    <xf numFmtId="164" fontId="7" fillId="0" borderId="2" xfId="15" applyNumberFormat="1" applyFont="1" applyFill="1" applyBorder="1" applyAlignment="1">
      <alignment/>
    </xf>
    <xf numFmtId="0" fontId="0" fillId="0" borderId="2" xfId="0" applyFont="1" applyBorder="1" applyAlignment="1">
      <alignment/>
    </xf>
    <xf numFmtId="164" fontId="0" fillId="0" borderId="2" xfId="15" applyNumberFormat="1" applyFont="1" applyFill="1" applyBorder="1" applyAlignment="1">
      <alignment/>
    </xf>
    <xf numFmtId="164" fontId="0" fillId="0" borderId="3" xfId="15" applyNumberFormat="1" applyBorder="1" applyAlignment="1">
      <alignment/>
    </xf>
    <xf numFmtId="38" fontId="7" fillId="0" borderId="2" xfId="15" applyNumberFormat="1" applyFont="1" applyBorder="1" applyAlignment="1">
      <alignment horizontal="right"/>
    </xf>
    <xf numFmtId="168" fontId="0" fillId="0" borderId="0" xfId="19" applyNumberFormat="1" applyFont="1" applyAlignment="1">
      <alignment/>
    </xf>
    <xf numFmtId="43" fontId="7" fillId="0" borderId="0" xfId="15" applyFont="1" applyAlignment="1">
      <alignment/>
    </xf>
    <xf numFmtId="164" fontId="0" fillId="0" borderId="2" xfId="0" applyNumberFormat="1" applyFont="1" applyBorder="1" applyAlignment="1">
      <alignment/>
    </xf>
    <xf numFmtId="173" fontId="0" fillId="0" borderId="0" xfId="0" applyNumberFormat="1" applyFont="1" applyAlignment="1">
      <alignment/>
    </xf>
    <xf numFmtId="164" fontId="0" fillId="0" borderId="0" xfId="15" applyNumberFormat="1" applyAlignment="1">
      <alignment/>
    </xf>
    <xf numFmtId="168" fontId="7" fillId="0" borderId="0" xfId="19" applyNumberFormat="1" applyFont="1" applyBorder="1" applyAlignment="1">
      <alignment/>
    </xf>
    <xf numFmtId="168" fontId="0" fillId="0" borderId="0" xfId="19" applyNumberFormat="1" applyFont="1" applyBorder="1" applyAlignment="1">
      <alignment/>
    </xf>
    <xf numFmtId="164" fontId="15" fillId="0" borderId="3" xfId="15" applyNumberFormat="1" applyFont="1" applyBorder="1" applyAlignment="1">
      <alignment horizontal="right"/>
    </xf>
    <xf numFmtId="0" fontId="16" fillId="0" borderId="0" xfId="0" applyFont="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horizontal="left"/>
    </xf>
    <xf numFmtId="0" fontId="18" fillId="0" borderId="0" xfId="0" applyFont="1" applyAlignment="1">
      <alignment horizontal="center"/>
    </xf>
    <xf numFmtId="0" fontId="17" fillId="0" borderId="0" xfId="0" applyFont="1" applyAlignment="1">
      <alignment/>
    </xf>
    <xf numFmtId="0" fontId="18" fillId="0" borderId="0" xfId="0" applyFont="1" applyAlignment="1">
      <alignment/>
    </xf>
    <xf numFmtId="0" fontId="19" fillId="0" borderId="0" xfId="0" applyFont="1" applyAlignment="1">
      <alignment/>
    </xf>
    <xf numFmtId="164" fontId="18" fillId="0" borderId="0" xfId="15" applyNumberFormat="1" applyFont="1" applyBorder="1" applyAlignment="1">
      <alignment/>
    </xf>
    <xf numFmtId="164" fontId="18" fillId="0" borderId="0" xfId="15" applyNumberFormat="1" applyFont="1" applyAlignment="1">
      <alignment/>
    </xf>
    <xf numFmtId="164" fontId="18" fillId="0" borderId="3" xfId="15" applyNumberFormat="1" applyFont="1" applyBorder="1" applyAlignment="1">
      <alignment/>
    </xf>
    <xf numFmtId="164" fontId="18" fillId="0" borderId="15" xfId="15" applyNumberFormat="1" applyFont="1" applyBorder="1" applyAlignment="1">
      <alignment/>
    </xf>
    <xf numFmtId="164" fontId="18" fillId="0" borderId="1" xfId="15" applyNumberFormat="1" applyFont="1" applyBorder="1" applyAlignment="1">
      <alignment/>
    </xf>
    <xf numFmtId="164" fontId="18" fillId="0" borderId="16" xfId="15" applyNumberFormat="1" applyFont="1" applyBorder="1" applyAlignment="1">
      <alignment/>
    </xf>
    <xf numFmtId="0" fontId="18" fillId="0" borderId="0" xfId="0" applyFont="1" applyAlignment="1" quotePrefix="1">
      <alignment/>
    </xf>
    <xf numFmtId="164" fontId="18" fillId="0" borderId="2" xfId="15" applyNumberFormat="1" applyFont="1" applyBorder="1" applyAlignment="1">
      <alignment/>
    </xf>
    <xf numFmtId="164" fontId="7" fillId="0" borderId="3" xfId="15" applyNumberFormat="1" applyFont="1" applyBorder="1" applyAlignment="1">
      <alignment/>
    </xf>
    <xf numFmtId="164" fontId="7" fillId="0" borderId="0" xfId="0" applyNumberFormat="1" applyFont="1" applyAlignment="1">
      <alignment/>
    </xf>
    <xf numFmtId="164" fontId="0" fillId="0" borderId="5" xfId="15" applyNumberFormat="1" applyFont="1" applyBorder="1" applyAlignment="1">
      <alignment/>
    </xf>
    <xf numFmtId="0" fontId="0" fillId="0" borderId="5" xfId="0" applyFont="1" applyBorder="1" applyAlignment="1">
      <alignment/>
    </xf>
    <xf numFmtId="164" fontId="7" fillId="0" borderId="5" xfId="0" applyNumberFormat="1" applyFont="1" applyBorder="1" applyAlignment="1">
      <alignment/>
    </xf>
    <xf numFmtId="164" fontId="0" fillId="0" borderId="4" xfId="15" applyNumberFormat="1" applyFont="1" applyBorder="1" applyAlignment="1">
      <alignment/>
    </xf>
    <xf numFmtId="164" fontId="7" fillId="0" borderId="4" xfId="0" applyNumberFormat="1" applyFont="1" applyBorder="1" applyAlignment="1">
      <alignment/>
    </xf>
    <xf numFmtId="164" fontId="0" fillId="0" borderId="0" xfId="15" applyNumberFormat="1" applyBorder="1" applyAlignment="1">
      <alignment/>
    </xf>
    <xf numFmtId="164" fontId="0" fillId="0" borderId="0" xfId="0" applyNumberFormat="1" applyBorder="1" applyAlignment="1">
      <alignment/>
    </xf>
    <xf numFmtId="0" fontId="7" fillId="0" borderId="0" xfId="0" applyFont="1" applyAlignment="1" applyProtection="1">
      <alignment horizontal="left"/>
      <protection/>
    </xf>
    <xf numFmtId="0" fontId="0" fillId="0" borderId="0" xfId="0" applyFont="1" applyAlignment="1" applyProtection="1">
      <alignment horizontal="left"/>
      <protection/>
    </xf>
    <xf numFmtId="187" fontId="0" fillId="0" borderId="0" xfId="15" applyNumberFormat="1" applyFont="1" applyAlignment="1">
      <alignment horizontal="left"/>
    </xf>
    <xf numFmtId="164" fontId="0" fillId="0" borderId="10" xfId="15" applyNumberFormat="1" applyFont="1" applyFill="1" applyBorder="1" applyAlignment="1">
      <alignment/>
    </xf>
    <xf numFmtId="164" fontId="0" fillId="0" borderId="11" xfId="15" applyNumberFormat="1" applyFill="1" applyBorder="1" applyAlignment="1">
      <alignment/>
    </xf>
    <xf numFmtId="164" fontId="0" fillId="0" borderId="10" xfId="15" applyNumberFormat="1" applyFill="1" applyBorder="1" applyAlignment="1">
      <alignment/>
    </xf>
    <xf numFmtId="164" fontId="0" fillId="0" borderId="1" xfId="15" applyNumberFormat="1" applyBorder="1" applyAlignment="1">
      <alignment/>
    </xf>
    <xf numFmtId="164" fontId="0" fillId="0" borderId="3" xfId="0" applyNumberFormat="1" applyFill="1" applyBorder="1" applyAlignment="1">
      <alignment/>
    </xf>
    <xf numFmtId="164" fontId="0" fillId="0" borderId="5" xfId="0" applyNumberFormat="1" applyBorder="1" applyAlignment="1">
      <alignment/>
    </xf>
    <xf numFmtId="43" fontId="0" fillId="0" borderId="0" xfId="15" applyFont="1" applyBorder="1" applyAlignment="1">
      <alignment/>
    </xf>
    <xf numFmtId="164" fontId="0" fillId="0" borderId="0" xfId="0" applyNumberFormat="1" applyFont="1" applyBorder="1" applyAlignment="1">
      <alignment/>
    </xf>
    <xf numFmtId="0" fontId="12" fillId="0" borderId="0" xfId="0" applyFont="1" applyBorder="1" applyAlignment="1">
      <alignment/>
    </xf>
    <xf numFmtId="43" fontId="0" fillId="0" borderId="0" xfId="15" applyNumberFormat="1" applyFont="1" applyBorder="1" applyAlignment="1">
      <alignment/>
    </xf>
    <xf numFmtId="0" fontId="18" fillId="0" borderId="0" xfId="0" applyFont="1" applyAlignment="1" applyProtection="1">
      <alignment horizontal="left"/>
      <protection/>
    </xf>
    <xf numFmtId="0" fontId="0" fillId="0" borderId="0" xfId="0" applyFont="1" applyAlignment="1">
      <alignment/>
    </xf>
    <xf numFmtId="43" fontId="0" fillId="0" borderId="4" xfId="15" applyFont="1" applyBorder="1" applyAlignment="1">
      <alignment/>
    </xf>
    <xf numFmtId="165" fontId="0" fillId="0" borderId="17" xfId="0" applyNumberFormat="1" applyFont="1" applyBorder="1" applyAlignment="1">
      <alignment/>
    </xf>
    <xf numFmtId="43" fontId="0" fillId="0" borderId="17" xfId="15" applyFont="1" applyBorder="1" applyAlignment="1">
      <alignment/>
    </xf>
    <xf numFmtId="0" fontId="1" fillId="0" borderId="0" xfId="0" applyFont="1" applyAlignment="1">
      <alignment horizontal="center"/>
    </xf>
    <xf numFmtId="37" fontId="3" fillId="0" borderId="0" xfId="0" applyNumberFormat="1" applyFont="1" applyAlignment="1" applyProtection="1">
      <alignment horizontal="center"/>
      <protection/>
    </xf>
    <xf numFmtId="0" fontId="7" fillId="0" borderId="0" xfId="0" applyFont="1" applyAlignment="1">
      <alignment horizontal="center"/>
    </xf>
    <xf numFmtId="0" fontId="18"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58</xdr:row>
      <xdr:rowOff>28575</xdr:rowOff>
    </xdr:from>
    <xdr:to>
      <xdr:col>4</xdr:col>
      <xdr:colOff>0</xdr:colOff>
      <xdr:row>59</xdr:row>
      <xdr:rowOff>171450</xdr:rowOff>
    </xdr:to>
    <xdr:sp>
      <xdr:nvSpPr>
        <xdr:cNvPr id="1" name="TextBox 1"/>
        <xdr:cNvSpPr txBox="1">
          <a:spLocks noChangeArrowheads="1"/>
        </xdr:cNvSpPr>
      </xdr:nvSpPr>
      <xdr:spPr>
        <a:xfrm>
          <a:off x="47625" y="9848850"/>
          <a:ext cx="61245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The Condensed Unaudited Consolidated Balance Sheet should be read in conjunction with the Annual Financial Statements for the year ended 31 December 2001</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19050</xdr:rowOff>
    </xdr:from>
    <xdr:to>
      <xdr:col>7</xdr:col>
      <xdr:colOff>914400</xdr:colOff>
      <xdr:row>39</xdr:row>
      <xdr:rowOff>28575</xdr:rowOff>
    </xdr:to>
    <xdr:sp>
      <xdr:nvSpPr>
        <xdr:cNvPr id="1" name="TextBox 4"/>
        <xdr:cNvSpPr txBox="1">
          <a:spLocks noChangeArrowheads="1"/>
        </xdr:cNvSpPr>
      </xdr:nvSpPr>
      <xdr:spPr>
        <a:xfrm>
          <a:off x="66675" y="6296025"/>
          <a:ext cx="6305550"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The Condensed Unaudited Consolidated Income Statements should be read in conjunction with the Annual Financial Statements for the financial year ended 31 December 2001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85</xdr:row>
      <xdr:rowOff>28575</xdr:rowOff>
    </xdr:from>
    <xdr:to>
      <xdr:col>4</xdr:col>
      <xdr:colOff>19050</xdr:colOff>
      <xdr:row>87</xdr:row>
      <xdr:rowOff>38100</xdr:rowOff>
    </xdr:to>
    <xdr:sp>
      <xdr:nvSpPr>
        <xdr:cNvPr id="1" name="TextBox 1"/>
        <xdr:cNvSpPr txBox="1">
          <a:spLocks noChangeArrowheads="1"/>
        </xdr:cNvSpPr>
      </xdr:nvSpPr>
      <xdr:spPr>
        <a:xfrm>
          <a:off x="66675" y="13925550"/>
          <a:ext cx="5734050"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The Condensed Unaudited Cash Flow Statement should be read in conjunction with the Annual Financial Statements for the financial year ended 31 December 2001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104775</xdr:rowOff>
    </xdr:from>
    <xdr:to>
      <xdr:col>3</xdr:col>
      <xdr:colOff>657225</xdr:colOff>
      <xdr:row>6</xdr:row>
      <xdr:rowOff>104775</xdr:rowOff>
    </xdr:to>
    <xdr:sp>
      <xdr:nvSpPr>
        <xdr:cNvPr id="1" name="Line 1"/>
        <xdr:cNvSpPr>
          <a:spLocks/>
        </xdr:cNvSpPr>
      </xdr:nvSpPr>
      <xdr:spPr>
        <a:xfrm flipH="1">
          <a:off x="3933825" y="1247775"/>
          <a:ext cx="1533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6</xdr:row>
      <xdr:rowOff>114300</xdr:rowOff>
    </xdr:from>
    <xdr:to>
      <xdr:col>7</xdr:col>
      <xdr:colOff>0</xdr:colOff>
      <xdr:row>6</xdr:row>
      <xdr:rowOff>114300</xdr:rowOff>
    </xdr:to>
    <xdr:sp>
      <xdr:nvSpPr>
        <xdr:cNvPr id="2" name="Line 2"/>
        <xdr:cNvSpPr>
          <a:spLocks/>
        </xdr:cNvSpPr>
      </xdr:nvSpPr>
      <xdr:spPr>
        <a:xfrm>
          <a:off x="6734175" y="1257300"/>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37</xdr:row>
      <xdr:rowOff>28575</xdr:rowOff>
    </xdr:from>
    <xdr:to>
      <xdr:col>10</xdr:col>
      <xdr:colOff>0</xdr:colOff>
      <xdr:row>39</xdr:row>
      <xdr:rowOff>38100</xdr:rowOff>
    </xdr:to>
    <xdr:sp>
      <xdr:nvSpPr>
        <xdr:cNvPr id="3" name="TextBox 3"/>
        <xdr:cNvSpPr txBox="1">
          <a:spLocks noChangeArrowheads="1"/>
        </xdr:cNvSpPr>
      </xdr:nvSpPr>
      <xdr:spPr>
        <a:xfrm>
          <a:off x="66675" y="6200775"/>
          <a:ext cx="9867900"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The Condensed Unaudited Statement of Changes in Equity should be read in conjunction with the Annual Financial Statements for the financial year ended 31 December 2001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9525</xdr:rowOff>
    </xdr:from>
    <xdr:to>
      <xdr:col>8</xdr:col>
      <xdr:colOff>771525</xdr:colOff>
      <xdr:row>11</xdr:row>
      <xdr:rowOff>142875</xdr:rowOff>
    </xdr:to>
    <xdr:sp>
      <xdr:nvSpPr>
        <xdr:cNvPr id="1" name="TextBox 1"/>
        <xdr:cNvSpPr txBox="1">
          <a:spLocks noChangeArrowheads="1"/>
        </xdr:cNvSpPr>
      </xdr:nvSpPr>
      <xdr:spPr>
        <a:xfrm>
          <a:off x="314325" y="685800"/>
          <a:ext cx="6086475" cy="1266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is prepared in accordance with MASB 26 "Interim Financial Reporting" and paragraph 9.22 of the Kuala Lumpur Stock Exchange Listing Requirements, and should be read in conjunction with the Group's financial statements for the year ended 31 December 2001.
The accounting policies and methods of computation applied on the quarterly financial statements are consistent with those applied on the annual financial statements. There have been no significant changes to these policies.</a:t>
          </a:r>
        </a:p>
      </xdr:txBody>
    </xdr:sp>
    <xdr:clientData/>
  </xdr:twoCellAnchor>
  <xdr:twoCellAnchor>
    <xdr:from>
      <xdr:col>1</xdr:col>
      <xdr:colOff>9525</xdr:colOff>
      <xdr:row>21</xdr:row>
      <xdr:rowOff>0</xdr:rowOff>
    </xdr:from>
    <xdr:to>
      <xdr:col>8</xdr:col>
      <xdr:colOff>742950</xdr:colOff>
      <xdr:row>22</xdr:row>
      <xdr:rowOff>104775</xdr:rowOff>
    </xdr:to>
    <xdr:sp>
      <xdr:nvSpPr>
        <xdr:cNvPr id="2" name="TextBox 3"/>
        <xdr:cNvSpPr txBox="1">
          <a:spLocks noChangeArrowheads="1"/>
        </xdr:cNvSpPr>
      </xdr:nvSpPr>
      <xdr:spPr>
        <a:xfrm>
          <a:off x="304800" y="3429000"/>
          <a:ext cx="60674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operations of the Group are not subject to any material seasonal or cyclical factors.</a:t>
          </a:r>
        </a:p>
      </xdr:txBody>
    </xdr:sp>
    <xdr:clientData/>
  </xdr:twoCellAnchor>
  <xdr:twoCellAnchor>
    <xdr:from>
      <xdr:col>0</xdr:col>
      <xdr:colOff>219075</xdr:colOff>
      <xdr:row>25</xdr:row>
      <xdr:rowOff>142875</xdr:rowOff>
    </xdr:from>
    <xdr:to>
      <xdr:col>8</xdr:col>
      <xdr:colOff>723900</xdr:colOff>
      <xdr:row>27</xdr:row>
      <xdr:rowOff>66675</xdr:rowOff>
    </xdr:to>
    <xdr:sp>
      <xdr:nvSpPr>
        <xdr:cNvPr id="3" name="TextBox 4"/>
        <xdr:cNvSpPr txBox="1">
          <a:spLocks noChangeArrowheads="1"/>
        </xdr:cNvSpPr>
      </xdr:nvSpPr>
      <xdr:spPr>
        <a:xfrm>
          <a:off x="219075" y="4219575"/>
          <a:ext cx="61341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events that materially affect the financial statements during the interim period.</a:t>
          </a:r>
        </a:p>
      </xdr:txBody>
    </xdr:sp>
    <xdr:clientData/>
  </xdr:twoCellAnchor>
  <xdr:twoCellAnchor>
    <xdr:from>
      <xdr:col>1</xdr:col>
      <xdr:colOff>19050</xdr:colOff>
      <xdr:row>31</xdr:row>
      <xdr:rowOff>0</xdr:rowOff>
    </xdr:from>
    <xdr:to>
      <xdr:col>8</xdr:col>
      <xdr:colOff>771525</xdr:colOff>
      <xdr:row>33</xdr:row>
      <xdr:rowOff>9525</xdr:rowOff>
    </xdr:to>
    <xdr:sp>
      <xdr:nvSpPr>
        <xdr:cNvPr id="4" name="TextBox 5"/>
        <xdr:cNvSpPr txBox="1">
          <a:spLocks noChangeArrowheads="1"/>
        </xdr:cNvSpPr>
      </xdr:nvSpPr>
      <xdr:spPr>
        <a:xfrm>
          <a:off x="314325" y="5048250"/>
          <a:ext cx="60864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variation from financial estimates reported in the preceding period or the preceding financial years that would materially affect the current interim period financial statements.</a:t>
          </a:r>
        </a:p>
      </xdr:txBody>
    </xdr:sp>
    <xdr:clientData/>
  </xdr:twoCellAnchor>
  <xdr:twoCellAnchor>
    <xdr:from>
      <xdr:col>1</xdr:col>
      <xdr:colOff>19050</xdr:colOff>
      <xdr:row>195</xdr:row>
      <xdr:rowOff>0</xdr:rowOff>
    </xdr:from>
    <xdr:to>
      <xdr:col>8</xdr:col>
      <xdr:colOff>781050</xdr:colOff>
      <xdr:row>197</xdr:row>
      <xdr:rowOff>95250</xdr:rowOff>
    </xdr:to>
    <xdr:sp>
      <xdr:nvSpPr>
        <xdr:cNvPr id="5" name="TextBox 6"/>
        <xdr:cNvSpPr txBox="1">
          <a:spLocks noChangeArrowheads="1"/>
        </xdr:cNvSpPr>
      </xdr:nvSpPr>
      <xdr:spPr>
        <a:xfrm>
          <a:off x="314325" y="31661100"/>
          <a:ext cx="60960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gain or loss on disposal of investments or properties other than in the ordinary course of business.</a:t>
          </a:r>
        </a:p>
      </xdr:txBody>
    </xdr:sp>
    <xdr:clientData/>
  </xdr:twoCellAnchor>
  <xdr:twoCellAnchor>
    <xdr:from>
      <xdr:col>1</xdr:col>
      <xdr:colOff>19050</xdr:colOff>
      <xdr:row>37</xdr:row>
      <xdr:rowOff>0</xdr:rowOff>
    </xdr:from>
    <xdr:to>
      <xdr:col>8</xdr:col>
      <xdr:colOff>781050</xdr:colOff>
      <xdr:row>51</xdr:row>
      <xdr:rowOff>38100</xdr:rowOff>
    </xdr:to>
    <xdr:sp>
      <xdr:nvSpPr>
        <xdr:cNvPr id="6" name="TextBox 8"/>
        <xdr:cNvSpPr txBox="1">
          <a:spLocks noChangeArrowheads="1"/>
        </xdr:cNvSpPr>
      </xdr:nvSpPr>
      <xdr:spPr>
        <a:xfrm>
          <a:off x="314325" y="6019800"/>
          <a:ext cx="6096000" cy="2305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Since the last announcement date, save and except as detailed below, there were no new issuance and repayment of debt securities, shares buy backs, share cancellations, or shares held as treasury shares during the financial period ended 30 September 2002:-
     a) Issuance of 1,817,000 shares arising from exercise of Employee Share Option Scheme (ESOS) on 
         2 July 2002, being the last batch exercised prior and on maturity date on 20 June 2002.
     b) The Company had, on 28 August 2002, pursuant to the terms and references of the provisions of the 
         revolving credit facility with a local institution, made a principal repayment of RM 25 million out of RM 75 
         million principal outstanding.
     c) The Company had also, on 5 September 2002, made a bonus issue of 1,287,599,630 new ordinary
         shares of RM1.00 each in CAHB, credited as fully and paid-up on the basis of one (1) new ordinary
         share of RM1.00 each for every one (1) existing ordinary share of RM1.00 each held in CAHB.
     d) During the financial period up to 30 September 2002, the Company had purchased its own shares of 
         1,202,000 shares at an average price of RM 3.07 per share from the open market.</a:t>
          </a:r>
        </a:p>
      </xdr:txBody>
    </xdr:sp>
    <xdr:clientData/>
  </xdr:twoCellAnchor>
  <xdr:twoCellAnchor>
    <xdr:from>
      <xdr:col>1</xdr:col>
      <xdr:colOff>219075</xdr:colOff>
      <xdr:row>221</xdr:row>
      <xdr:rowOff>0</xdr:rowOff>
    </xdr:from>
    <xdr:to>
      <xdr:col>5</xdr:col>
      <xdr:colOff>47625</xdr:colOff>
      <xdr:row>221</xdr:row>
      <xdr:rowOff>0</xdr:rowOff>
    </xdr:to>
    <xdr:sp>
      <xdr:nvSpPr>
        <xdr:cNvPr id="7" name="TextBox 9"/>
        <xdr:cNvSpPr txBox="1">
          <a:spLocks noChangeArrowheads="1"/>
        </xdr:cNvSpPr>
      </xdr:nvSpPr>
      <xdr:spPr>
        <a:xfrm>
          <a:off x="514350" y="35871150"/>
          <a:ext cx="42672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Foreign exchange, interest rate and equity and commodity related contracts are subject to market risk and credit risk.</a:t>
          </a:r>
        </a:p>
      </xdr:txBody>
    </xdr:sp>
    <xdr:clientData/>
  </xdr:twoCellAnchor>
  <xdr:twoCellAnchor>
    <xdr:from>
      <xdr:col>1</xdr:col>
      <xdr:colOff>209550</xdr:colOff>
      <xdr:row>221</xdr:row>
      <xdr:rowOff>0</xdr:rowOff>
    </xdr:from>
    <xdr:to>
      <xdr:col>5</xdr:col>
      <xdr:colOff>47625</xdr:colOff>
      <xdr:row>221</xdr:row>
      <xdr:rowOff>0</xdr:rowOff>
    </xdr:to>
    <xdr:sp>
      <xdr:nvSpPr>
        <xdr:cNvPr id="8" name="TextBox 10"/>
        <xdr:cNvSpPr txBox="1">
          <a:spLocks noChangeArrowheads="1"/>
        </xdr:cNvSpPr>
      </xdr:nvSpPr>
      <xdr:spPr>
        <a:xfrm>
          <a:off x="504825" y="35871150"/>
          <a:ext cx="4276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sheets positions. As at end of the financial quarter, the amount of contracts which were not hedged and, hence, exposed to market risk was RM571,579,000 (31/12/1999:RM320,523,000).</a:t>
          </a:r>
        </a:p>
      </xdr:txBody>
    </xdr:sp>
    <xdr:clientData/>
  </xdr:twoCellAnchor>
  <xdr:twoCellAnchor>
    <xdr:from>
      <xdr:col>1</xdr:col>
      <xdr:colOff>200025</xdr:colOff>
      <xdr:row>221</xdr:row>
      <xdr:rowOff>0</xdr:rowOff>
    </xdr:from>
    <xdr:to>
      <xdr:col>5</xdr:col>
      <xdr:colOff>47625</xdr:colOff>
      <xdr:row>221</xdr:row>
      <xdr:rowOff>0</xdr:rowOff>
    </xdr:to>
    <xdr:sp>
      <xdr:nvSpPr>
        <xdr:cNvPr id="9" name="TextBox 11"/>
        <xdr:cNvSpPr txBox="1">
          <a:spLocks noChangeArrowheads="1"/>
        </xdr:cNvSpPr>
      </xdr:nvSpPr>
      <xdr:spPr>
        <a:xfrm>
          <a:off x="495300" y="35871150"/>
          <a:ext cx="4286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Credit risk arises from the possibility that a counter-party may be unable to meet the terms of a contract in which the Bank has a gain position. As at the end of the finnacial quarter, the amounts of credit risk, measured in term of the  cost to replace the profitable contracts, was RM98,382,000 (31/12/1999:RM340,565,390). This amount will increase or decrease over the life of the contracts, mainly as a function of maturity dates and market rates or prices.</a:t>
          </a:r>
        </a:p>
      </xdr:txBody>
    </xdr:sp>
    <xdr:clientData/>
  </xdr:twoCellAnchor>
  <xdr:twoCellAnchor>
    <xdr:from>
      <xdr:col>1</xdr:col>
      <xdr:colOff>209550</xdr:colOff>
      <xdr:row>221</xdr:row>
      <xdr:rowOff>0</xdr:rowOff>
    </xdr:from>
    <xdr:to>
      <xdr:col>5</xdr:col>
      <xdr:colOff>47625</xdr:colOff>
      <xdr:row>221</xdr:row>
      <xdr:rowOff>0</xdr:rowOff>
    </xdr:to>
    <xdr:sp>
      <xdr:nvSpPr>
        <xdr:cNvPr id="10" name="TextBox 12"/>
        <xdr:cNvSpPr txBox="1">
          <a:spLocks noChangeArrowheads="1"/>
        </xdr:cNvSpPr>
      </xdr:nvSpPr>
      <xdr:spPr>
        <a:xfrm>
          <a:off x="504825" y="35871150"/>
          <a:ext cx="4276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credit equivalent amount is arrived at using the credit conversion factor as per Bank Negara Malaysia circulars.</a:t>
          </a:r>
        </a:p>
      </xdr:txBody>
    </xdr:sp>
    <xdr:clientData/>
  </xdr:twoCellAnchor>
  <xdr:twoCellAnchor>
    <xdr:from>
      <xdr:col>1</xdr:col>
      <xdr:colOff>9525</xdr:colOff>
      <xdr:row>220</xdr:row>
      <xdr:rowOff>0</xdr:rowOff>
    </xdr:from>
    <xdr:to>
      <xdr:col>5</xdr:col>
      <xdr:colOff>47625</xdr:colOff>
      <xdr:row>220</xdr:row>
      <xdr:rowOff>0</xdr:rowOff>
    </xdr:to>
    <xdr:sp>
      <xdr:nvSpPr>
        <xdr:cNvPr id="11" name="TextBox 13"/>
        <xdr:cNvSpPr txBox="1">
          <a:spLocks noChangeArrowheads="1"/>
        </xdr:cNvSpPr>
      </xdr:nvSpPr>
      <xdr:spPr>
        <a:xfrm>
          <a:off x="304800" y="35709225"/>
          <a:ext cx="4476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Exempted for disclosure.</a:t>
          </a:r>
        </a:p>
      </xdr:txBody>
    </xdr:sp>
    <xdr:clientData/>
  </xdr:twoCellAnchor>
  <xdr:twoCellAnchor>
    <xdr:from>
      <xdr:col>1</xdr:col>
      <xdr:colOff>19050</xdr:colOff>
      <xdr:row>217</xdr:row>
      <xdr:rowOff>19050</xdr:rowOff>
    </xdr:from>
    <xdr:to>
      <xdr:col>8</xdr:col>
      <xdr:colOff>666750</xdr:colOff>
      <xdr:row>218</xdr:row>
      <xdr:rowOff>76200</xdr:rowOff>
    </xdr:to>
    <xdr:sp>
      <xdr:nvSpPr>
        <xdr:cNvPr id="12" name="TextBox 14"/>
        <xdr:cNvSpPr txBox="1">
          <a:spLocks noChangeArrowheads="1"/>
        </xdr:cNvSpPr>
      </xdr:nvSpPr>
      <xdr:spPr>
        <a:xfrm>
          <a:off x="314325" y="35242500"/>
          <a:ext cx="59817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have been no corporate proposals other than that which have already been announced to KLSE.</a:t>
          </a:r>
        </a:p>
      </xdr:txBody>
    </xdr:sp>
    <xdr:clientData/>
  </xdr:twoCellAnchor>
  <xdr:twoCellAnchor>
    <xdr:from>
      <xdr:col>1</xdr:col>
      <xdr:colOff>38100</xdr:colOff>
      <xdr:row>220</xdr:row>
      <xdr:rowOff>0</xdr:rowOff>
    </xdr:from>
    <xdr:to>
      <xdr:col>8</xdr:col>
      <xdr:colOff>704850</xdr:colOff>
      <xdr:row>220</xdr:row>
      <xdr:rowOff>0</xdr:rowOff>
    </xdr:to>
    <xdr:sp>
      <xdr:nvSpPr>
        <xdr:cNvPr id="13" name="TextBox 15"/>
        <xdr:cNvSpPr txBox="1">
          <a:spLocks noChangeArrowheads="1"/>
        </xdr:cNvSpPr>
      </xdr:nvSpPr>
      <xdr:spPr>
        <a:xfrm>
          <a:off x="333375" y="357092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operations of the Group k are not subject to any material seasonal or cyclical factors.</a:t>
          </a:r>
        </a:p>
      </xdr:txBody>
    </xdr:sp>
    <xdr:clientData/>
  </xdr:twoCellAnchor>
  <xdr:twoCellAnchor>
    <xdr:from>
      <xdr:col>1</xdr:col>
      <xdr:colOff>19050</xdr:colOff>
      <xdr:row>322</xdr:row>
      <xdr:rowOff>0</xdr:rowOff>
    </xdr:from>
    <xdr:to>
      <xdr:col>8</xdr:col>
      <xdr:colOff>762000</xdr:colOff>
      <xdr:row>322</xdr:row>
      <xdr:rowOff>0</xdr:rowOff>
    </xdr:to>
    <xdr:sp>
      <xdr:nvSpPr>
        <xdr:cNvPr id="14" name="TextBox 16"/>
        <xdr:cNvSpPr txBox="1">
          <a:spLocks noChangeArrowheads="1"/>
        </xdr:cNvSpPr>
      </xdr:nvSpPr>
      <xdr:spPr>
        <a:xfrm>
          <a:off x="314325" y="52301775"/>
          <a:ext cx="6076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and the Bank do not have any material litigations which would materially and adversely affect the financial position of the Group and the Bank.</a:t>
          </a:r>
        </a:p>
      </xdr:txBody>
    </xdr:sp>
    <xdr:clientData/>
  </xdr:twoCellAnchor>
  <xdr:twoCellAnchor>
    <xdr:from>
      <xdr:col>1</xdr:col>
      <xdr:colOff>209550</xdr:colOff>
      <xdr:row>320</xdr:row>
      <xdr:rowOff>0</xdr:rowOff>
    </xdr:from>
    <xdr:to>
      <xdr:col>8</xdr:col>
      <xdr:colOff>762000</xdr:colOff>
      <xdr:row>320</xdr:row>
      <xdr:rowOff>0</xdr:rowOff>
    </xdr:to>
    <xdr:sp>
      <xdr:nvSpPr>
        <xdr:cNvPr id="15" name="TextBox 18"/>
        <xdr:cNvSpPr txBox="1">
          <a:spLocks noChangeArrowheads="1"/>
        </xdr:cNvSpPr>
      </xdr:nvSpPr>
      <xdr:spPr>
        <a:xfrm>
          <a:off x="504825" y="51977925"/>
          <a:ext cx="5886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credit equivalent amount is arrived at using the credit conversion factor as specified by Bank Negara Malaysia.</a:t>
          </a:r>
        </a:p>
      </xdr:txBody>
    </xdr:sp>
    <xdr:clientData/>
  </xdr:twoCellAnchor>
  <xdr:twoCellAnchor>
    <xdr:from>
      <xdr:col>1</xdr:col>
      <xdr:colOff>9525</xdr:colOff>
      <xdr:row>105</xdr:row>
      <xdr:rowOff>9525</xdr:rowOff>
    </xdr:from>
    <xdr:to>
      <xdr:col>8</xdr:col>
      <xdr:colOff>771525</xdr:colOff>
      <xdr:row>108</xdr:row>
      <xdr:rowOff>142875</xdr:rowOff>
    </xdr:to>
    <xdr:sp>
      <xdr:nvSpPr>
        <xdr:cNvPr id="16" name="TextBox 19"/>
        <xdr:cNvSpPr txBox="1">
          <a:spLocks noChangeArrowheads="1"/>
        </xdr:cNvSpPr>
      </xdr:nvSpPr>
      <xdr:spPr>
        <a:xfrm>
          <a:off x="304800" y="17040225"/>
          <a:ext cx="6096000" cy="619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the normal course of business, the Group make various commitments and incur certain contingent liabilities with legal recourse to their customers. No material losses are anticipated as a result of these transactions.
</a:t>
          </a:r>
        </a:p>
      </xdr:txBody>
    </xdr:sp>
    <xdr:clientData/>
  </xdr:twoCellAnchor>
  <xdr:twoCellAnchor>
    <xdr:from>
      <xdr:col>1</xdr:col>
      <xdr:colOff>247650</xdr:colOff>
      <xdr:row>134</xdr:row>
      <xdr:rowOff>0</xdr:rowOff>
    </xdr:from>
    <xdr:to>
      <xdr:col>8</xdr:col>
      <xdr:colOff>733425</xdr:colOff>
      <xdr:row>136</xdr:row>
      <xdr:rowOff>104775</xdr:rowOff>
    </xdr:to>
    <xdr:sp>
      <xdr:nvSpPr>
        <xdr:cNvPr id="17" name="TextBox 20"/>
        <xdr:cNvSpPr txBox="1">
          <a:spLocks noChangeArrowheads="1"/>
        </xdr:cNvSpPr>
      </xdr:nvSpPr>
      <xdr:spPr>
        <a:xfrm>
          <a:off x="542925" y="21764625"/>
          <a:ext cx="5819775" cy="428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credit equivalent amount is arrived at using the credit conversion factor as specified by Bank Negara Malaysia.</a:t>
          </a:r>
        </a:p>
      </xdr:txBody>
    </xdr:sp>
    <xdr:clientData/>
  </xdr:twoCellAnchor>
  <xdr:twoCellAnchor>
    <xdr:from>
      <xdr:col>1</xdr:col>
      <xdr:colOff>9525</xdr:colOff>
      <xdr:row>152</xdr:row>
      <xdr:rowOff>152400</xdr:rowOff>
    </xdr:from>
    <xdr:to>
      <xdr:col>8</xdr:col>
      <xdr:colOff>800100</xdr:colOff>
      <xdr:row>158</xdr:row>
      <xdr:rowOff>28575</xdr:rowOff>
    </xdr:to>
    <xdr:sp>
      <xdr:nvSpPr>
        <xdr:cNvPr id="18" name="TextBox 23"/>
        <xdr:cNvSpPr txBox="1">
          <a:spLocks noChangeArrowheads="1"/>
        </xdr:cNvSpPr>
      </xdr:nvSpPr>
      <xdr:spPr>
        <a:xfrm>
          <a:off x="304800" y="24831675"/>
          <a:ext cx="61245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third quarter ended 30 September 2002, the Commerce Group had recorded a Profit Before Taxation (PBT) of RM208.9 million, an improvement compared to the PBT of RM173.7 million registered in the second quarter of 2002.
Quarter-on-quarter, Group PBT improved as a result of improvements in Net Interest Income and Non Interest Income compared to the increase in staff costs and overrheads and loan loss provision. </a:t>
          </a:r>
        </a:p>
      </xdr:txBody>
    </xdr:sp>
    <xdr:clientData/>
  </xdr:twoCellAnchor>
  <xdr:twoCellAnchor>
    <xdr:from>
      <xdr:col>1</xdr:col>
      <xdr:colOff>9525</xdr:colOff>
      <xdr:row>140</xdr:row>
      <xdr:rowOff>0</xdr:rowOff>
    </xdr:from>
    <xdr:to>
      <xdr:col>8</xdr:col>
      <xdr:colOff>809625</xdr:colOff>
      <xdr:row>149</xdr:row>
      <xdr:rowOff>76200</xdr:rowOff>
    </xdr:to>
    <xdr:sp>
      <xdr:nvSpPr>
        <xdr:cNvPr id="19" name="TextBox 24"/>
        <xdr:cNvSpPr txBox="1">
          <a:spLocks noChangeArrowheads="1"/>
        </xdr:cNvSpPr>
      </xdr:nvSpPr>
      <xdr:spPr>
        <a:xfrm>
          <a:off x="304800" y="22736175"/>
          <a:ext cx="6134100" cy="1533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nine months period ended 30 September 2002, the Group PBT of RM555.5 million recorded was 3.8% lower as compared to RM577.2 million made during the corresponding period last year. Although there was a marginal increase in total income, Group PBT was affected by higher loan loss provision and overhead expense.
The main contributor to the Commerce Group's PBT was BCB Group which registered RM409.4 million, thus contributing 73.7%. BCB Group's profits was also 15.1% higher compared to RM355.7 million made in corresponding period last year. The Commerce International Merchant Bankers Berhad (CIMB) Group contributed 21.3% to Commerce Group profits with a lower PBT of RM118.1 million (30/9/2001: RM193.0 million)</a:t>
          </a:r>
        </a:p>
      </xdr:txBody>
    </xdr:sp>
    <xdr:clientData/>
  </xdr:twoCellAnchor>
  <xdr:twoCellAnchor>
    <xdr:from>
      <xdr:col>1</xdr:col>
      <xdr:colOff>19050</xdr:colOff>
      <xdr:row>161</xdr:row>
      <xdr:rowOff>0</xdr:rowOff>
    </xdr:from>
    <xdr:to>
      <xdr:col>8</xdr:col>
      <xdr:colOff>809625</xdr:colOff>
      <xdr:row>168</xdr:row>
      <xdr:rowOff>0</xdr:rowOff>
    </xdr:to>
    <xdr:sp>
      <xdr:nvSpPr>
        <xdr:cNvPr id="20" name="TextBox 25"/>
        <xdr:cNvSpPr txBox="1">
          <a:spLocks noChangeArrowheads="1"/>
        </xdr:cNvSpPr>
      </xdr:nvSpPr>
      <xdr:spPr>
        <a:xfrm>
          <a:off x="314325" y="26136600"/>
          <a:ext cx="6124575"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operating environment is unfortunately uncertain. The commercial bank, BCB will continue to focus on cost efficiency, managing the asset quality position, enhancing the risk management framework and strengthening its franchise. Though the results of various transformation initiatives are beginning to take effect, we anticipate that its impact will be more pronounced in the next financial year.
The CIMB Group will continue to remain prudent in its trading operation exercise, cost control and leverage on its track record in the capital market to win mandates while enhancing its trading and distribution strength.</a:t>
          </a:r>
        </a:p>
      </xdr:txBody>
    </xdr:sp>
    <xdr:clientData/>
  </xdr:twoCellAnchor>
  <xdr:twoCellAnchor>
    <xdr:from>
      <xdr:col>1</xdr:col>
      <xdr:colOff>9525</xdr:colOff>
      <xdr:row>55</xdr:row>
      <xdr:rowOff>0</xdr:rowOff>
    </xdr:from>
    <xdr:to>
      <xdr:col>8</xdr:col>
      <xdr:colOff>781050</xdr:colOff>
      <xdr:row>57</xdr:row>
      <xdr:rowOff>76200</xdr:rowOff>
    </xdr:to>
    <xdr:sp>
      <xdr:nvSpPr>
        <xdr:cNvPr id="21" name="TextBox 26"/>
        <xdr:cNvSpPr txBox="1">
          <a:spLocks noChangeArrowheads="1"/>
        </xdr:cNvSpPr>
      </xdr:nvSpPr>
      <xdr:spPr>
        <a:xfrm>
          <a:off x="304800" y="8934450"/>
          <a:ext cx="6105525"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28 May 2002, the Company paid a first and final dividend of 6 sen less income tax for the financial year ended 31 December 2001 amounting to RM 55,119,901.</a:t>
          </a:r>
        </a:p>
      </xdr:txBody>
    </xdr:sp>
    <xdr:clientData/>
  </xdr:twoCellAnchor>
  <xdr:twoCellAnchor>
    <xdr:from>
      <xdr:col>1</xdr:col>
      <xdr:colOff>19050</xdr:colOff>
      <xdr:row>15</xdr:row>
      <xdr:rowOff>0</xdr:rowOff>
    </xdr:from>
    <xdr:to>
      <xdr:col>8</xdr:col>
      <xdr:colOff>771525</xdr:colOff>
      <xdr:row>17</xdr:row>
      <xdr:rowOff>19050</xdr:rowOff>
    </xdr:to>
    <xdr:sp>
      <xdr:nvSpPr>
        <xdr:cNvPr id="22" name="TextBox 27"/>
        <xdr:cNvSpPr txBox="1">
          <a:spLocks noChangeArrowheads="1"/>
        </xdr:cNvSpPr>
      </xdr:nvSpPr>
      <xdr:spPr>
        <a:xfrm>
          <a:off x="314325" y="2457450"/>
          <a:ext cx="6086475"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preceding annual financial statements audit report was unqualified and in order.</a:t>
          </a:r>
        </a:p>
      </xdr:txBody>
    </xdr:sp>
    <xdr:clientData/>
  </xdr:twoCellAnchor>
  <xdr:oneCellAnchor>
    <xdr:from>
      <xdr:col>1</xdr:col>
      <xdr:colOff>2171700</xdr:colOff>
      <xdr:row>27</xdr:row>
      <xdr:rowOff>66675</xdr:rowOff>
    </xdr:from>
    <xdr:ext cx="76200" cy="200025"/>
    <xdr:sp>
      <xdr:nvSpPr>
        <xdr:cNvPr id="23" name="TextBox 28"/>
        <xdr:cNvSpPr txBox="1">
          <a:spLocks noChangeArrowheads="1"/>
        </xdr:cNvSpPr>
      </xdr:nvSpPr>
      <xdr:spPr>
        <a:xfrm>
          <a:off x="2466975" y="4467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38100</xdr:colOff>
      <xdr:row>62</xdr:row>
      <xdr:rowOff>57150</xdr:rowOff>
    </xdr:from>
    <xdr:to>
      <xdr:col>8</xdr:col>
      <xdr:colOff>828675</xdr:colOff>
      <xdr:row>63</xdr:row>
      <xdr:rowOff>95250</xdr:rowOff>
    </xdr:to>
    <xdr:sp>
      <xdr:nvSpPr>
        <xdr:cNvPr id="24" name="TextBox 41"/>
        <xdr:cNvSpPr txBox="1">
          <a:spLocks noChangeArrowheads="1"/>
        </xdr:cNvSpPr>
      </xdr:nvSpPr>
      <xdr:spPr>
        <a:xfrm>
          <a:off x="333375" y="10125075"/>
          <a:ext cx="6124575"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valuations of property, plant and equipment were carried out for this current period financial statements.</a:t>
          </a:r>
        </a:p>
      </xdr:txBody>
    </xdr:sp>
    <xdr:clientData/>
  </xdr:twoCellAnchor>
  <xdr:twoCellAnchor>
    <xdr:from>
      <xdr:col>1</xdr:col>
      <xdr:colOff>0</xdr:colOff>
      <xdr:row>271</xdr:row>
      <xdr:rowOff>19050</xdr:rowOff>
    </xdr:from>
    <xdr:to>
      <xdr:col>9</xdr:col>
      <xdr:colOff>0</xdr:colOff>
      <xdr:row>273</xdr:row>
      <xdr:rowOff>19050</xdr:rowOff>
    </xdr:to>
    <xdr:sp>
      <xdr:nvSpPr>
        <xdr:cNvPr id="25" name="TextBox 46"/>
        <xdr:cNvSpPr txBox="1">
          <a:spLocks noChangeArrowheads="1"/>
        </xdr:cNvSpPr>
      </xdr:nvSpPr>
      <xdr:spPr>
        <a:xfrm>
          <a:off x="295275" y="44043600"/>
          <a:ext cx="6172200" cy="323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the date of this report, there was no pending material litigation of which would have materially affected the Group's financial position.</a:t>
          </a:r>
        </a:p>
      </xdr:txBody>
    </xdr:sp>
    <xdr:clientData/>
  </xdr:twoCellAnchor>
  <xdr:twoCellAnchor>
    <xdr:from>
      <xdr:col>1</xdr:col>
      <xdr:colOff>0</xdr:colOff>
      <xdr:row>277</xdr:row>
      <xdr:rowOff>38100</xdr:rowOff>
    </xdr:from>
    <xdr:to>
      <xdr:col>8</xdr:col>
      <xdr:colOff>809625</xdr:colOff>
      <xdr:row>280</xdr:row>
      <xdr:rowOff>38100</xdr:rowOff>
    </xdr:to>
    <xdr:sp>
      <xdr:nvSpPr>
        <xdr:cNvPr id="26" name="TextBox 47"/>
        <xdr:cNvSpPr txBox="1">
          <a:spLocks noChangeArrowheads="1"/>
        </xdr:cNvSpPr>
      </xdr:nvSpPr>
      <xdr:spPr>
        <a:xfrm>
          <a:off x="295275" y="45034200"/>
          <a:ext cx="6143625"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basic EPS is calculated by dividing the net profit for the financial period after minority interests by the weighted average number of ordinary shares in issue during the financial period, excluding the average number of ordinary shares purchased by the Company and held as treasury shares.</a:t>
          </a:r>
        </a:p>
      </xdr:txBody>
    </xdr:sp>
    <xdr:clientData/>
  </xdr:twoCellAnchor>
  <xdr:oneCellAnchor>
    <xdr:from>
      <xdr:col>1</xdr:col>
      <xdr:colOff>600075</xdr:colOff>
      <xdr:row>171</xdr:row>
      <xdr:rowOff>0</xdr:rowOff>
    </xdr:from>
    <xdr:ext cx="76200" cy="200025"/>
    <xdr:sp>
      <xdr:nvSpPr>
        <xdr:cNvPr id="27" name="TextBox 48"/>
        <xdr:cNvSpPr txBox="1">
          <a:spLocks noChangeArrowheads="1"/>
        </xdr:cNvSpPr>
      </xdr:nvSpPr>
      <xdr:spPr>
        <a:xfrm>
          <a:off x="895350" y="27755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47625</xdr:colOff>
      <xdr:row>171</xdr:row>
      <xdr:rowOff>0</xdr:rowOff>
    </xdr:from>
    <xdr:to>
      <xdr:col>8</xdr:col>
      <xdr:colOff>819150</xdr:colOff>
      <xdr:row>171</xdr:row>
      <xdr:rowOff>0</xdr:rowOff>
    </xdr:to>
    <xdr:sp>
      <xdr:nvSpPr>
        <xdr:cNvPr id="28" name="TextBox 50"/>
        <xdr:cNvSpPr txBox="1">
          <a:spLocks noChangeArrowheads="1"/>
        </xdr:cNvSpPr>
      </xdr:nvSpPr>
      <xdr:spPr>
        <a:xfrm>
          <a:off x="342900" y="27755850"/>
          <a:ext cx="61055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breakdown ofthe tax charge and an explanation of the variance between the effective and statutory tax rate for the current quarter and financial interim period.</a:t>
          </a:r>
        </a:p>
      </xdr:txBody>
    </xdr:sp>
    <xdr:clientData/>
  </xdr:twoCellAnchor>
  <xdr:twoCellAnchor>
    <xdr:from>
      <xdr:col>1</xdr:col>
      <xdr:colOff>9525</xdr:colOff>
      <xdr:row>67</xdr:row>
      <xdr:rowOff>0</xdr:rowOff>
    </xdr:from>
    <xdr:to>
      <xdr:col>8</xdr:col>
      <xdr:colOff>781050</xdr:colOff>
      <xdr:row>84</xdr:row>
      <xdr:rowOff>76200</xdr:rowOff>
    </xdr:to>
    <xdr:sp>
      <xdr:nvSpPr>
        <xdr:cNvPr id="29" name="TextBox 51"/>
        <xdr:cNvSpPr txBox="1">
          <a:spLocks noChangeArrowheads="1"/>
        </xdr:cNvSpPr>
      </xdr:nvSpPr>
      <xdr:spPr>
        <a:xfrm>
          <a:off x="304800" y="10877550"/>
          <a:ext cx="6105525" cy="2828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and except as disclosed as below, there were no material post balance sheet events that would materially affect the interim financial statements:-
a)  The Company had, on 2 October 2002, entered into a Share Sale Agreement  with  Bank Pertanian Malaysia ("BPM") to acquire BPM's entire equity interest in CIMB comprising 37,342,800 CIMB shares representing approximately 11.70% of CIMB's issued and paid-up share capital for a total purchase consideration of RM 157,213,188 which is equivalent to RM4.21 per CIMB share. The purchase consideration will be satisfied by cash for an amount of RM 90,147,046 and the balance by 42,415,000 shares of the proposed entity of CIMB Berhad.("CIMBB"). The proposed BPM Acquisitions forms as an integral part of the proposed listing of CIMBB.
b) The Company had, on 15 October 2002, announced the proposed listing of CIMB on the Main Board of KLSE. The proposed listing entails the listing of and quotation for the entire enlarged issued and paid up capital of CIMBB of RM850,000,000 comprising 850,000,000 ordinary shares of RM 1.00 each on the Main Board of KLSE. Together with the proposed listing, the Company proposes a proposed grant of a share option to the Chief Executive of CIMB and a proposed executive employee share option scheme for eligible executives of the proposed CIMBB Group.</a:t>
          </a:r>
        </a:p>
      </xdr:txBody>
    </xdr:sp>
    <xdr:clientData/>
  </xdr:twoCellAnchor>
  <xdr:twoCellAnchor>
    <xdr:from>
      <xdr:col>1</xdr:col>
      <xdr:colOff>28575</xdr:colOff>
      <xdr:row>88</xdr:row>
      <xdr:rowOff>0</xdr:rowOff>
    </xdr:from>
    <xdr:to>
      <xdr:col>9</xdr:col>
      <xdr:colOff>0</xdr:colOff>
      <xdr:row>101</xdr:row>
      <xdr:rowOff>85725</xdr:rowOff>
    </xdr:to>
    <xdr:sp>
      <xdr:nvSpPr>
        <xdr:cNvPr id="30" name="TextBox 52"/>
        <xdr:cNvSpPr txBox="1">
          <a:spLocks noChangeArrowheads="1"/>
        </xdr:cNvSpPr>
      </xdr:nvSpPr>
      <xdr:spPr>
        <a:xfrm>
          <a:off x="323850" y="14277975"/>
          <a:ext cx="6143625" cy="2190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significant changes in the composition of the Group except that the Company had, on 4 September 2002, completed a Share Sale Agreement with UFJ to acquire UFJ's entire equity interest in CIMB comprising 24,288,000 CIMB shares representing approximately 7.61% of CIMB's issued and paid-up share capital for a total cash consideration of RM102,252,480 which equivalent to RM4.21 per CIMB share. The UFJ acquisition  forms as an integral part of the proposed listing of CIMBB.
The UFJ acquisition also has increased the shareholding of the Company in CIMB from 80.69% to 88.3% with effective from that date.
The Company had, on 13 September 2002 announced the update of the proposed acquisition of PT Bank Niaga, Indonesia. In accordance with the relevant sale process, the Company has submitted a final binding bid for the 51% equity interest in PT Bank Niaga on 12 September 2002. The process is subject to the final approval from the Indonesian authorities. Further announcements will be made at the appropriate time based on official notification from the relevant authorities.
</a:t>
          </a:r>
        </a:p>
      </xdr:txBody>
    </xdr:sp>
    <xdr:clientData/>
  </xdr:twoCellAnchor>
  <xdr:twoCellAnchor>
    <xdr:from>
      <xdr:col>1</xdr:col>
      <xdr:colOff>400050</xdr:colOff>
      <xdr:row>320</xdr:row>
      <xdr:rowOff>0</xdr:rowOff>
    </xdr:from>
    <xdr:to>
      <xdr:col>1</xdr:col>
      <xdr:colOff>485775</xdr:colOff>
      <xdr:row>320</xdr:row>
      <xdr:rowOff>0</xdr:rowOff>
    </xdr:to>
    <xdr:sp>
      <xdr:nvSpPr>
        <xdr:cNvPr id="31" name="TextBox 53"/>
        <xdr:cNvSpPr txBox="1">
          <a:spLocks noChangeArrowheads="1"/>
        </xdr:cNvSpPr>
      </xdr:nvSpPr>
      <xdr:spPr>
        <a:xfrm>
          <a:off x="695325" y="51977925"/>
          <a:ext cx="85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317</xdr:row>
      <xdr:rowOff>95250</xdr:rowOff>
    </xdr:from>
    <xdr:to>
      <xdr:col>9</xdr:col>
      <xdr:colOff>9525</xdr:colOff>
      <xdr:row>319</xdr:row>
      <xdr:rowOff>85725</xdr:rowOff>
    </xdr:to>
    <xdr:sp>
      <xdr:nvSpPr>
        <xdr:cNvPr id="32" name="TextBox 54"/>
        <xdr:cNvSpPr txBox="1">
          <a:spLocks noChangeArrowheads="1"/>
        </xdr:cNvSpPr>
      </xdr:nvSpPr>
      <xdr:spPr>
        <a:xfrm>
          <a:off x="352425" y="51587400"/>
          <a:ext cx="6124575" cy="3143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note on variance on profit forecast and shortfall in profit guarantee was not applicable for the financial period ended 30 September 2002.</a:t>
          </a:r>
        </a:p>
      </xdr:txBody>
    </xdr:sp>
    <xdr:clientData/>
  </xdr:twoCellAnchor>
  <xdr:oneCellAnchor>
    <xdr:from>
      <xdr:col>2</xdr:col>
      <xdr:colOff>381000</xdr:colOff>
      <xdr:row>320</xdr:row>
      <xdr:rowOff>0</xdr:rowOff>
    </xdr:from>
    <xdr:ext cx="76200" cy="200025"/>
    <xdr:sp>
      <xdr:nvSpPr>
        <xdr:cNvPr id="33" name="TextBox 55"/>
        <xdr:cNvSpPr txBox="1">
          <a:spLocks noChangeArrowheads="1"/>
        </xdr:cNvSpPr>
      </xdr:nvSpPr>
      <xdr:spPr>
        <a:xfrm>
          <a:off x="3381375" y="5197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322</xdr:row>
      <xdr:rowOff>152400</xdr:rowOff>
    </xdr:from>
    <xdr:to>
      <xdr:col>9</xdr:col>
      <xdr:colOff>0</xdr:colOff>
      <xdr:row>324</xdr:row>
      <xdr:rowOff>152400</xdr:rowOff>
    </xdr:to>
    <xdr:sp>
      <xdr:nvSpPr>
        <xdr:cNvPr id="34" name="TextBox 57"/>
        <xdr:cNvSpPr txBox="1">
          <a:spLocks noChangeArrowheads="1"/>
        </xdr:cNvSpPr>
      </xdr:nvSpPr>
      <xdr:spPr>
        <a:xfrm>
          <a:off x="323850" y="52454175"/>
          <a:ext cx="6143625" cy="323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interim dividend has been proposed and recommended during the financial period ended 30 September 2002.</a:t>
          </a:r>
        </a:p>
      </xdr:txBody>
    </xdr:sp>
    <xdr:clientData/>
  </xdr:twoCellAnchor>
  <xdr:twoCellAnchor>
    <xdr:from>
      <xdr:col>1</xdr:col>
      <xdr:colOff>28575</xdr:colOff>
      <xdr:row>289</xdr:row>
      <xdr:rowOff>9525</xdr:rowOff>
    </xdr:from>
    <xdr:to>
      <xdr:col>9</xdr:col>
      <xdr:colOff>9525</xdr:colOff>
      <xdr:row>298</xdr:row>
      <xdr:rowOff>28575</xdr:rowOff>
    </xdr:to>
    <xdr:sp>
      <xdr:nvSpPr>
        <xdr:cNvPr id="35" name="TextBox 58"/>
        <xdr:cNvSpPr txBox="1">
          <a:spLocks noChangeArrowheads="1"/>
        </xdr:cNvSpPr>
      </xdr:nvSpPr>
      <xdr:spPr>
        <a:xfrm>
          <a:off x="323850" y="46948725"/>
          <a:ext cx="6153150" cy="1476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weighted average number of ordinary shares in issue for the current financial period and corresponding period has been adjusted for bonus issue of 1:1 made on 5 September 2002.
In the earlier announcement, the effect of the issuance of bonus shares on weighted average number of ordinary shares in issue was adjusted based on shares outstanding from the actual date of issuance of bonus shares. The effect of the issuance of bonus shares on weighted average number of ordinary shares in issue should be adjusted as if the bonus shares have been issued at the beginning of the earliest period reported.
This announcement has addressed the above matter.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95</xdr:row>
      <xdr:rowOff>142875</xdr:rowOff>
    </xdr:from>
    <xdr:ext cx="76200" cy="200025"/>
    <xdr:sp>
      <xdr:nvSpPr>
        <xdr:cNvPr id="1" name="TextBox 1"/>
        <xdr:cNvSpPr txBox="1">
          <a:spLocks noChangeArrowheads="1"/>
        </xdr:cNvSpPr>
      </xdr:nvSpPr>
      <xdr:spPr>
        <a:xfrm>
          <a:off x="476250" y="15592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54</xdr:row>
      <xdr:rowOff>0</xdr:rowOff>
    </xdr:from>
    <xdr:to>
      <xdr:col>7</xdr:col>
      <xdr:colOff>0</xdr:colOff>
      <xdr:row>54</xdr:row>
      <xdr:rowOff>0</xdr:rowOff>
    </xdr:to>
    <xdr:sp>
      <xdr:nvSpPr>
        <xdr:cNvPr id="2" name="TextBox 2"/>
        <xdr:cNvSpPr txBox="1">
          <a:spLocks noChangeArrowheads="1"/>
        </xdr:cNvSpPr>
      </xdr:nvSpPr>
      <xdr:spPr>
        <a:xfrm>
          <a:off x="285750" y="8763000"/>
          <a:ext cx="6667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reconciliation for total segments operating income to the net income of the consolidated financial statements are as follows:-
</a:t>
          </a:r>
        </a:p>
      </xdr:txBody>
    </xdr:sp>
    <xdr:clientData/>
  </xdr:twoCellAnchor>
  <xdr:twoCellAnchor>
    <xdr:from>
      <xdr:col>1</xdr:col>
      <xdr:colOff>38100</xdr:colOff>
      <xdr:row>159</xdr:row>
      <xdr:rowOff>9525</xdr:rowOff>
    </xdr:from>
    <xdr:to>
      <xdr:col>7</xdr:col>
      <xdr:colOff>0</xdr:colOff>
      <xdr:row>161</xdr:row>
      <xdr:rowOff>9525</xdr:rowOff>
    </xdr:to>
    <xdr:sp>
      <xdr:nvSpPr>
        <xdr:cNvPr id="3" name="Text 1"/>
        <xdr:cNvSpPr txBox="1">
          <a:spLocks noChangeArrowheads="1"/>
        </xdr:cNvSpPr>
      </xdr:nvSpPr>
      <xdr:spPr>
        <a:xfrm>
          <a:off x="295275" y="26003250"/>
          <a:ext cx="6657975" cy="3238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Movements in the provision for bad and doubtful debts and financing and interest-in-suspense accounts are as follows :</a:t>
          </a:r>
        </a:p>
      </xdr:txBody>
    </xdr:sp>
    <xdr:clientData/>
  </xdr:twoCellAnchor>
  <xdr:twoCellAnchor>
    <xdr:from>
      <xdr:col>1</xdr:col>
      <xdr:colOff>19050</xdr:colOff>
      <xdr:row>2</xdr:row>
      <xdr:rowOff>19050</xdr:rowOff>
    </xdr:from>
    <xdr:to>
      <xdr:col>9</xdr:col>
      <xdr:colOff>733425</xdr:colOff>
      <xdr:row>22</xdr:row>
      <xdr:rowOff>95250</xdr:rowOff>
    </xdr:to>
    <xdr:sp>
      <xdr:nvSpPr>
        <xdr:cNvPr id="4" name="TextBox 15"/>
        <xdr:cNvSpPr txBox="1">
          <a:spLocks noChangeArrowheads="1"/>
        </xdr:cNvSpPr>
      </xdr:nvSpPr>
      <xdr:spPr>
        <a:xfrm>
          <a:off x="276225" y="342900"/>
          <a:ext cx="9305925" cy="3314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Commerce Group is organised into seven main business segments:-
</a:t>
          </a:r>
          <a:r>
            <a:rPr lang="en-US" cap="none" sz="1000" b="1" i="1" u="none" baseline="0">
              <a:latin typeface="Arial"/>
              <a:ea typeface="Arial"/>
              <a:cs typeface="Arial"/>
            </a:rPr>
            <a:t>Retail banking</a:t>
          </a:r>
          <a:r>
            <a:rPr lang="en-US" cap="none" sz="1000" b="0" i="0" u="none" baseline="0">
              <a:latin typeface="Arial"/>
              <a:ea typeface="Arial"/>
              <a:cs typeface="Arial"/>
            </a:rPr>
            <a:t> refers to Bumiputra-Commerce Bank Berhad ("BCB") retail banking unit. It focuses on individual customers and small businesses. It promotes products such as residential mortgages, shophouses loans, shares financing and other various types of retail and consumer loans.
</a:t>
          </a:r>
          <a:r>
            <a:rPr lang="en-US" cap="none" sz="1000" b="1" i="1" u="none" baseline="0">
              <a:latin typeface="Arial"/>
              <a:ea typeface="Arial"/>
              <a:cs typeface="Arial"/>
            </a:rPr>
            <a:t>Business banking </a:t>
          </a:r>
          <a:r>
            <a:rPr lang="en-US" cap="none" sz="1000" b="0" i="0" u="none" baseline="0">
              <a:latin typeface="Arial"/>
              <a:ea typeface="Arial"/>
              <a:cs typeface="Arial"/>
            </a:rPr>
            <a:t>refers to BCB business banking unit. It focuses on middle market customers. It promotes trade finance and working capital facilities which covers business and small and medium industry.
</a:t>
          </a:r>
          <a:r>
            <a:rPr lang="en-US" cap="none" sz="1000" b="1" i="1" u="none" baseline="0">
              <a:latin typeface="Arial"/>
              <a:ea typeface="Arial"/>
              <a:cs typeface="Arial"/>
            </a:rPr>
            <a:t>Corporate banking </a:t>
          </a:r>
          <a:r>
            <a:rPr lang="en-US" cap="none" sz="1000" b="0" i="0" u="none" baseline="0">
              <a:latin typeface="Arial"/>
              <a:ea typeface="Arial"/>
              <a:cs typeface="Arial"/>
            </a:rPr>
            <a:t>refers to BCB and Commerce International Merchant Bankers Berhad ("CIMB") corporate banking and lending. It focuses on the large listed corporates, multinational companies, Federal and State Government clients. It promotes traditional banking products, project financing, corporate loans, margin lending and others.
</a:t>
          </a:r>
          <a:r>
            <a:rPr lang="en-US" cap="none" sz="1000" b="1" i="1" u="none" baseline="0">
              <a:latin typeface="Arial"/>
              <a:ea typeface="Arial"/>
              <a:cs typeface="Arial"/>
            </a:rPr>
            <a:t>Treasury</a:t>
          </a:r>
          <a:r>
            <a:rPr lang="en-US" cap="none" sz="1000" b="0" i="0" u="none" baseline="0">
              <a:latin typeface="Arial"/>
              <a:ea typeface="Arial"/>
              <a:cs typeface="Arial"/>
            </a:rPr>
            <a:t> refers to BCB treasury division. It promotes treasury activities and services which includes foreign exchange, money markets, derivatives and capital markets instrument trading. 
</a:t>
          </a:r>
          <a:r>
            <a:rPr lang="en-US" cap="none" sz="1000" b="1" i="1" u="none" baseline="0">
              <a:latin typeface="Arial"/>
              <a:ea typeface="Arial"/>
              <a:cs typeface="Arial"/>
            </a:rPr>
            <a:t>Trading and Principal investments </a:t>
          </a:r>
          <a:r>
            <a:rPr lang="en-US" cap="none" sz="1000" b="0" i="0" u="none" baseline="0">
              <a:latin typeface="Arial"/>
              <a:ea typeface="Arial"/>
              <a:cs typeface="Arial"/>
            </a:rPr>
            <a:t>refers to that division in CIMB which offers underwriting and trading of primary equities and debt products.  It also covers proprietary trading and market-making in the secondary market for debt, trading in domestic and regional equities markets as well as derivatives and structured solutions. 
</a:t>
          </a:r>
          <a:r>
            <a:rPr lang="en-US" cap="none" sz="1000" b="1" i="1" u="none" baseline="0">
              <a:latin typeface="Arial"/>
              <a:ea typeface="Arial"/>
              <a:cs typeface="Arial"/>
            </a:rPr>
            <a:t>Finance and Hire-purchase</a:t>
          </a:r>
          <a:r>
            <a:rPr lang="en-US" cap="none" sz="1000" b="0" i="0" u="none" baseline="0">
              <a:latin typeface="Arial"/>
              <a:ea typeface="Arial"/>
              <a:cs typeface="Arial"/>
            </a:rPr>
            <a:t>refers to Bumiputra-Commerce Finance Behad ("BCF"). It promotes hire-purchase financing and other related financing products.
</a:t>
          </a:r>
          <a:r>
            <a:rPr lang="en-US" cap="none" sz="1000" b="1" i="1" u="none" baseline="0">
              <a:latin typeface="Arial"/>
              <a:ea typeface="Arial"/>
              <a:cs typeface="Arial"/>
            </a:rPr>
            <a:t>Other operations </a:t>
          </a:r>
          <a:r>
            <a:rPr lang="en-US" cap="none" sz="1000" b="0" i="0" u="none" baseline="0">
              <a:latin typeface="Arial"/>
              <a:ea typeface="Arial"/>
              <a:cs typeface="Arial"/>
            </a:rPr>
            <a:t>refers to various companies in the group which carries different principal activities. It includes the investment holding, fund management, unit trust, life assurance business, factoring, leasing etc.
The segmental reporting is prepared in compliance with the KLSE's requirement for the adoption of the Malaysian Accounting Standard Board ("MASB") 22 effectives from the quarter ended 30 September 2002. At this juncture, it is not practicable to produce a comparative segmental data for the current quarter and the comparative preceding current and corresponding period last year.
The Group will continue to perfect the segmental pricing mechanism to best reflect segmental operation within the Group.</a:t>
          </a:r>
        </a:p>
      </xdr:txBody>
    </xdr:sp>
    <xdr:clientData/>
  </xdr:twoCellAnchor>
  <xdr:oneCellAnchor>
    <xdr:from>
      <xdr:col>1</xdr:col>
      <xdr:colOff>2352675</xdr:colOff>
      <xdr:row>3</xdr:row>
      <xdr:rowOff>28575</xdr:rowOff>
    </xdr:from>
    <xdr:ext cx="76200" cy="200025"/>
    <xdr:sp>
      <xdr:nvSpPr>
        <xdr:cNvPr id="5" name="TextBox 17"/>
        <xdr:cNvSpPr txBox="1">
          <a:spLocks noChangeArrowheads="1"/>
        </xdr:cNvSpPr>
      </xdr:nvSpPr>
      <xdr:spPr>
        <a:xfrm>
          <a:off x="2609850"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19050</xdr:colOff>
      <xdr:row>235</xdr:row>
      <xdr:rowOff>0</xdr:rowOff>
    </xdr:from>
    <xdr:to>
      <xdr:col>9</xdr:col>
      <xdr:colOff>0</xdr:colOff>
      <xdr:row>235</xdr:row>
      <xdr:rowOff>0</xdr:rowOff>
    </xdr:to>
    <xdr:sp>
      <xdr:nvSpPr>
        <xdr:cNvPr id="6" name="TextBox 20"/>
        <xdr:cNvSpPr txBox="1">
          <a:spLocks noChangeArrowheads="1"/>
        </xdr:cNvSpPr>
      </xdr:nvSpPr>
      <xdr:spPr>
        <a:xfrm>
          <a:off x="276225" y="38338125"/>
          <a:ext cx="85725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is a potential claim by Bank Muamalat for tax liabilities arising from the conventional business of legacy BBMB vested over to a subsidiary bank, BCB under the merger agreement in respect of year of assessment 1996-1999 amounting to RM 254,000,000. The additional liability constitutes a valid claim under the Share Exchange Agreement against Minister of Finance (MoF)(Inc) and Khazanah Nasional Berhad.
Discussions between the parties involved in the claims are still on-going.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47625</xdr:rowOff>
    </xdr:from>
    <xdr:to>
      <xdr:col>8</xdr:col>
      <xdr:colOff>552450</xdr:colOff>
      <xdr:row>23</xdr:row>
      <xdr:rowOff>104775</xdr:rowOff>
    </xdr:to>
    <xdr:sp>
      <xdr:nvSpPr>
        <xdr:cNvPr id="1" name="TextBox 1"/>
        <xdr:cNvSpPr txBox="1">
          <a:spLocks noChangeArrowheads="1"/>
        </xdr:cNvSpPr>
      </xdr:nvSpPr>
      <xdr:spPr>
        <a:xfrm>
          <a:off x="295275" y="3448050"/>
          <a:ext cx="684847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exchange related contract and interest rate related contracts are subject to market risk and credit risk.</a:t>
          </a:r>
        </a:p>
      </xdr:txBody>
    </xdr:sp>
    <xdr:clientData/>
  </xdr:twoCellAnchor>
  <xdr:twoCellAnchor>
    <xdr:from>
      <xdr:col>0</xdr:col>
      <xdr:colOff>257175</xdr:colOff>
      <xdr:row>25</xdr:row>
      <xdr:rowOff>28575</xdr:rowOff>
    </xdr:from>
    <xdr:to>
      <xdr:col>8</xdr:col>
      <xdr:colOff>552450</xdr:colOff>
      <xdr:row>31</xdr:row>
      <xdr:rowOff>66675</xdr:rowOff>
    </xdr:to>
    <xdr:sp>
      <xdr:nvSpPr>
        <xdr:cNvPr id="2" name="TextBox 2"/>
        <xdr:cNvSpPr txBox="1">
          <a:spLocks noChangeArrowheads="1"/>
        </xdr:cNvSpPr>
      </xdr:nvSpPr>
      <xdr:spPr>
        <a:xfrm>
          <a:off x="257175" y="4076700"/>
          <a:ext cx="6886575" cy="1009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sheets positions. As at the end of the financial quarter, the amount of contracts which were not hedged and, hence, exposed to market risk was RM1,265,189,000 (31/12/2001:RM2,999,139,000).</a:t>
          </a:r>
        </a:p>
      </xdr:txBody>
    </xdr:sp>
    <xdr:clientData/>
  </xdr:twoCellAnchor>
  <xdr:twoCellAnchor>
    <xdr:from>
      <xdr:col>1</xdr:col>
      <xdr:colOff>0</xdr:colOff>
      <xdr:row>33</xdr:row>
      <xdr:rowOff>38100</xdr:rowOff>
    </xdr:from>
    <xdr:to>
      <xdr:col>8</xdr:col>
      <xdr:colOff>552450</xdr:colOff>
      <xdr:row>38</xdr:row>
      <xdr:rowOff>142875</xdr:rowOff>
    </xdr:to>
    <xdr:sp>
      <xdr:nvSpPr>
        <xdr:cNvPr id="3" name="TextBox 3"/>
        <xdr:cNvSpPr txBox="1">
          <a:spLocks noChangeArrowheads="1"/>
        </xdr:cNvSpPr>
      </xdr:nvSpPr>
      <xdr:spPr>
        <a:xfrm>
          <a:off x="295275" y="5381625"/>
          <a:ext cx="6848475" cy="914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Credit risk arises from the possibility that a counter-party may be unable to meet the terms of a contract in which the Bank has a gain position. As at the end of the financial quarter, the amounts of credit risk, measured in term of the  cost to replace the profitable contracts, was RM37,527,000 (31/12/2001:RM425,735,000). This amount will increase or decrease over the life of the contracts, mainly as a function of maturity dates and market rates or prices.</a:t>
          </a:r>
        </a:p>
      </xdr:txBody>
    </xdr:sp>
    <xdr:clientData/>
  </xdr:twoCellAnchor>
  <xdr:twoCellAnchor>
    <xdr:from>
      <xdr:col>0</xdr:col>
      <xdr:colOff>257175</xdr:colOff>
      <xdr:row>40</xdr:row>
      <xdr:rowOff>47625</xdr:rowOff>
    </xdr:from>
    <xdr:to>
      <xdr:col>8</xdr:col>
      <xdr:colOff>542925</xdr:colOff>
      <xdr:row>42</xdr:row>
      <xdr:rowOff>123825</xdr:rowOff>
    </xdr:to>
    <xdr:sp>
      <xdr:nvSpPr>
        <xdr:cNvPr id="4" name="TextBox 4"/>
        <xdr:cNvSpPr txBox="1">
          <a:spLocks noChangeArrowheads="1"/>
        </xdr:cNvSpPr>
      </xdr:nvSpPr>
      <xdr:spPr>
        <a:xfrm>
          <a:off x="257175" y="6524625"/>
          <a:ext cx="6877050"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accounting policies applied for recognising the financial instruments concerned are the same as those applied for the financial year ended 31 December 2001.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72"/>
  <sheetViews>
    <sheetView tabSelected="1" workbookViewId="0" topLeftCell="A1">
      <selection activeCell="A10" sqref="A10"/>
    </sheetView>
  </sheetViews>
  <sheetFormatPr defaultColWidth="9.140625" defaultRowHeight="12.75"/>
  <cols>
    <col min="1" max="1" width="66.28125" style="1" customWidth="1"/>
    <col min="2" max="2" width="12.7109375" style="1" customWidth="1"/>
    <col min="3" max="3" width="0.85546875" style="1" customWidth="1"/>
    <col min="4" max="4" width="12.7109375" style="1" customWidth="1"/>
    <col min="5" max="16384" width="9.140625" style="1" customWidth="1"/>
  </cols>
  <sheetData>
    <row r="1" spans="1:4" ht="12.75">
      <c r="A1"/>
      <c r="B1"/>
      <c r="C1"/>
      <c r="D1"/>
    </row>
    <row r="2" spans="1:4" ht="15.75" customHeight="1">
      <c r="A2" s="199" t="s">
        <v>220</v>
      </c>
      <c r="B2" s="199"/>
      <c r="C2" s="199"/>
      <c r="D2" s="199"/>
    </row>
    <row r="3" spans="1:4" ht="15.75" customHeight="1">
      <c r="A3" s="2"/>
      <c r="B3" s="2"/>
      <c r="C3" s="2"/>
      <c r="D3" s="2"/>
    </row>
    <row r="4" spans="1:4" ht="15.75" customHeight="1">
      <c r="A4" s="200" t="s">
        <v>289</v>
      </c>
      <c r="B4" s="200"/>
      <c r="C4" s="200"/>
      <c r="D4" s="200"/>
    </row>
    <row r="5" ht="15">
      <c r="A5" s="3"/>
    </row>
    <row r="6" spans="1:4" ht="15">
      <c r="A6" s="3"/>
      <c r="B6" s="4"/>
      <c r="C6" s="5" t="s">
        <v>25</v>
      </c>
      <c r="D6" s="5"/>
    </row>
    <row r="7" spans="1:4" ht="12.75">
      <c r="A7" s="6"/>
      <c r="B7" s="110" t="s">
        <v>290</v>
      </c>
      <c r="C7" s="8"/>
      <c r="D7" s="110" t="s">
        <v>143</v>
      </c>
    </row>
    <row r="8" spans="1:4" ht="12.75">
      <c r="A8" s="6" t="s">
        <v>0</v>
      </c>
      <c r="B8" s="8" t="s">
        <v>1</v>
      </c>
      <c r="C8" s="8"/>
      <c r="D8" s="8" t="s">
        <v>1</v>
      </c>
    </row>
    <row r="9" spans="1:4" ht="15">
      <c r="A9" s="9"/>
      <c r="B9" s="9"/>
      <c r="C9" s="9"/>
      <c r="D9" s="3"/>
    </row>
    <row r="10" spans="1:4" ht="12.75">
      <c r="A10" s="9" t="s">
        <v>127</v>
      </c>
      <c r="B10" s="10">
        <v>7197937</v>
      </c>
      <c r="C10" s="11"/>
      <c r="D10" s="12">
        <v>5091715</v>
      </c>
    </row>
    <row r="11" spans="1:4" ht="12.75">
      <c r="A11" s="9" t="s">
        <v>221</v>
      </c>
      <c r="B11" s="10">
        <v>59536</v>
      </c>
      <c r="C11" s="11"/>
      <c r="D11" s="12">
        <v>298202</v>
      </c>
    </row>
    <row r="12" spans="1:4" ht="12.75">
      <c r="A12" s="9" t="s">
        <v>139</v>
      </c>
      <c r="B12" s="10">
        <v>2242326</v>
      </c>
      <c r="C12" s="11"/>
      <c r="D12" s="12">
        <v>1390185</v>
      </c>
    </row>
    <row r="13" spans="1:4" ht="12.75">
      <c r="A13" s="9" t="s">
        <v>2</v>
      </c>
      <c r="B13" s="10">
        <v>11092304</v>
      </c>
      <c r="C13" s="13"/>
      <c r="D13" s="12">
        <v>8114148</v>
      </c>
    </row>
    <row r="14" spans="1:4" ht="12.75">
      <c r="A14" s="9" t="s">
        <v>3</v>
      </c>
      <c r="B14" s="10">
        <v>13542572</v>
      </c>
      <c r="C14" s="13"/>
      <c r="D14" s="12">
        <v>11421659</v>
      </c>
    </row>
    <row r="15" spans="1:4" ht="12.75">
      <c r="A15" s="9" t="s">
        <v>128</v>
      </c>
      <c r="B15" s="10">
        <v>44562813</v>
      </c>
      <c r="C15" s="13"/>
      <c r="D15" s="12">
        <v>42214908</v>
      </c>
    </row>
    <row r="16" spans="1:4" ht="12.75">
      <c r="A16" s="9" t="s">
        <v>4</v>
      </c>
      <c r="B16" s="10">
        <v>2941462</v>
      </c>
      <c r="C16" s="13"/>
      <c r="D16" s="12">
        <v>3505244</v>
      </c>
    </row>
    <row r="17" spans="1:4" ht="12.75">
      <c r="A17" s="9" t="s">
        <v>5</v>
      </c>
      <c r="B17" s="10">
        <v>1748935</v>
      </c>
      <c r="C17" s="13"/>
      <c r="D17" s="12">
        <v>1402491</v>
      </c>
    </row>
    <row r="18" spans="1:4" ht="12.75">
      <c r="A18" s="9" t="s">
        <v>6</v>
      </c>
      <c r="B18" s="10">
        <v>0</v>
      </c>
      <c r="C18" s="13"/>
      <c r="D18" s="12">
        <v>0</v>
      </c>
    </row>
    <row r="19" spans="1:4" ht="12.75">
      <c r="A19" s="9" t="s">
        <v>222</v>
      </c>
      <c r="B19" s="10">
        <v>170956</v>
      </c>
      <c r="C19" s="13"/>
      <c r="D19" s="12">
        <v>167005</v>
      </c>
    </row>
    <row r="20" spans="1:4" ht="12.75">
      <c r="A20" s="9" t="s">
        <v>7</v>
      </c>
      <c r="B20" s="10">
        <v>639692</v>
      </c>
      <c r="C20" s="13"/>
      <c r="D20" s="12">
        <v>633825</v>
      </c>
    </row>
    <row r="21" spans="1:4" ht="12.75">
      <c r="A21" s="9" t="s">
        <v>223</v>
      </c>
      <c r="B21" s="10">
        <v>126237</v>
      </c>
      <c r="C21" s="13"/>
      <c r="D21" s="12">
        <v>130941</v>
      </c>
    </row>
    <row r="22" spans="1:4" ht="12.75">
      <c r="A22" s="9"/>
      <c r="B22" s="10"/>
      <c r="C22" s="13"/>
      <c r="D22" s="12"/>
    </row>
    <row r="23" spans="1:4" ht="13.5" thickBot="1">
      <c r="A23" s="6" t="s">
        <v>8</v>
      </c>
      <c r="B23" s="125">
        <f>SUM(B10:B22)</f>
        <v>84324770</v>
      </c>
      <c r="C23" s="14"/>
      <c r="D23" s="125">
        <f>SUM(D10:D22)</f>
        <v>74370323</v>
      </c>
    </row>
    <row r="24" spans="1:4" ht="12.75">
      <c r="A24" s="9"/>
      <c r="B24" s="10"/>
      <c r="C24" s="13"/>
      <c r="D24" s="15"/>
    </row>
    <row r="25" spans="1:4" ht="12.75">
      <c r="A25" s="6" t="s">
        <v>9</v>
      </c>
      <c r="B25" s="10"/>
      <c r="C25" s="13"/>
      <c r="D25" s="12"/>
    </row>
    <row r="26" spans="1:4" ht="12.75">
      <c r="A26" s="9"/>
      <c r="B26" s="10"/>
      <c r="C26" s="13"/>
      <c r="D26" s="17"/>
    </row>
    <row r="27" spans="1:4" ht="12.75">
      <c r="A27" s="9" t="s">
        <v>10</v>
      </c>
      <c r="B27" s="10">
        <v>53424766</v>
      </c>
      <c r="C27" s="13"/>
      <c r="D27" s="12">
        <v>46878228</v>
      </c>
    </row>
    <row r="28" spans="1:4" ht="12.75">
      <c r="A28" s="9" t="s">
        <v>129</v>
      </c>
      <c r="B28" s="10"/>
      <c r="C28" s="13"/>
      <c r="D28" s="12"/>
    </row>
    <row r="29" spans="1:4" ht="12.75">
      <c r="A29" s="9" t="s">
        <v>11</v>
      </c>
      <c r="B29" s="10">
        <v>10054922</v>
      </c>
      <c r="C29" s="13"/>
      <c r="D29" s="12">
        <v>8230815</v>
      </c>
    </row>
    <row r="30" spans="1:4" ht="12.75">
      <c r="A30" s="9" t="s">
        <v>12</v>
      </c>
      <c r="B30" s="10"/>
      <c r="C30" s="13"/>
      <c r="D30" s="12"/>
    </row>
    <row r="31" spans="1:4" ht="12.75">
      <c r="A31" s="9" t="s">
        <v>13</v>
      </c>
      <c r="B31" s="10">
        <v>3422444</v>
      </c>
      <c r="C31" s="13"/>
      <c r="D31" s="12">
        <v>4734567</v>
      </c>
    </row>
    <row r="32" spans="1:4" ht="12.75">
      <c r="A32" s="9" t="s">
        <v>14</v>
      </c>
      <c r="B32" s="10">
        <v>4571585</v>
      </c>
      <c r="C32" s="13"/>
      <c r="D32" s="12">
        <v>2389500</v>
      </c>
    </row>
    <row r="33" spans="1:4" ht="12.75">
      <c r="A33" s="9" t="s">
        <v>15</v>
      </c>
      <c r="B33" s="10">
        <v>2833324</v>
      </c>
      <c r="C33" s="13"/>
      <c r="D33" s="12">
        <v>2666617</v>
      </c>
    </row>
    <row r="34" spans="1:4" ht="12.75">
      <c r="A34" s="9" t="s">
        <v>142</v>
      </c>
      <c r="B34" s="10">
        <v>1429655</v>
      </c>
      <c r="C34" s="13"/>
      <c r="D34" s="12">
        <v>1406350</v>
      </c>
    </row>
    <row r="35" spans="1:4" ht="12.75">
      <c r="A35" s="9" t="s">
        <v>224</v>
      </c>
      <c r="B35" s="10">
        <v>1000000</v>
      </c>
      <c r="C35" s="13"/>
      <c r="D35" s="12">
        <v>953000</v>
      </c>
    </row>
    <row r="36" spans="1:4" ht="12.75">
      <c r="A36" s="9" t="s">
        <v>225</v>
      </c>
      <c r="B36" s="10">
        <v>502964</v>
      </c>
      <c r="C36" s="13"/>
      <c r="D36" s="12">
        <v>1110996</v>
      </c>
    </row>
    <row r="37" spans="1:4" ht="12.75">
      <c r="A37" s="9"/>
      <c r="B37" s="10"/>
      <c r="C37" s="13"/>
      <c r="D37" s="17"/>
    </row>
    <row r="38" spans="1:4" ht="12.75">
      <c r="A38" s="6" t="s">
        <v>16</v>
      </c>
      <c r="B38" s="18">
        <f>SUM(B27:B36)</f>
        <v>77239660</v>
      </c>
      <c r="C38" s="112"/>
      <c r="D38" s="18">
        <f>SUM(D27:D36)</f>
        <v>68370073</v>
      </c>
    </row>
    <row r="39" spans="1:4" ht="12.75">
      <c r="A39" s="9"/>
      <c r="B39" s="4"/>
      <c r="C39" s="13"/>
      <c r="D39" s="12"/>
    </row>
    <row r="40" spans="1:4" ht="12.75">
      <c r="A40" s="9" t="s">
        <v>130</v>
      </c>
      <c r="B40" s="4">
        <v>139744</v>
      </c>
      <c r="C40" s="13"/>
      <c r="D40" s="12">
        <v>133231</v>
      </c>
    </row>
    <row r="41" spans="1:4" ht="12.75">
      <c r="A41" s="19" t="s">
        <v>17</v>
      </c>
      <c r="B41" s="126">
        <f>SUM(B40:B40)</f>
        <v>139744</v>
      </c>
      <c r="C41" s="127"/>
      <c r="D41" s="126">
        <f>SUM(D40:D40)</f>
        <v>133231</v>
      </c>
    </row>
    <row r="42" spans="1:4" ht="12.75">
      <c r="A42" s="9"/>
      <c r="B42" s="10"/>
      <c r="C42" s="13"/>
      <c r="D42" s="12"/>
    </row>
    <row r="43" spans="1:4" ht="12.75">
      <c r="A43" s="9" t="s">
        <v>226</v>
      </c>
      <c r="B43" s="10">
        <v>220891</v>
      </c>
      <c r="C43" s="13"/>
      <c r="D43" s="12">
        <v>311154</v>
      </c>
    </row>
    <row r="44" spans="1:4" ht="12.75">
      <c r="A44" s="9"/>
      <c r="B44" s="10"/>
      <c r="C44" s="13"/>
      <c r="D44" s="12"/>
    </row>
    <row r="45" spans="1:4" ht="12.75">
      <c r="A45" s="9" t="s">
        <v>18</v>
      </c>
      <c r="B45" s="10">
        <v>2586290</v>
      </c>
      <c r="C45" s="13"/>
      <c r="D45" s="12">
        <v>1184647</v>
      </c>
    </row>
    <row r="46" spans="1:4" ht="12.75">
      <c r="A46" s="9" t="s">
        <v>19</v>
      </c>
      <c r="B46" s="10">
        <v>4218883</v>
      </c>
      <c r="C46" s="13"/>
      <c r="D46" s="12">
        <v>4450303</v>
      </c>
    </row>
    <row r="47" spans="1:4" ht="12.75">
      <c r="A47" s="9" t="s">
        <v>227</v>
      </c>
      <c r="B47" s="10">
        <v>-80698</v>
      </c>
      <c r="C47" s="13"/>
      <c r="D47" s="12">
        <v>-79085</v>
      </c>
    </row>
    <row r="48" spans="2:4" ht="12.75">
      <c r="B48" s="10"/>
      <c r="C48" s="13"/>
      <c r="D48" s="12"/>
    </row>
    <row r="49" spans="1:4" ht="12.75">
      <c r="A49" s="6" t="s">
        <v>20</v>
      </c>
      <c r="B49" s="18">
        <f>SUM(B45:B48)</f>
        <v>6724475</v>
      </c>
      <c r="C49" s="13"/>
      <c r="D49" s="18">
        <f>SUM(D45:D48)</f>
        <v>5555865</v>
      </c>
    </row>
    <row r="50" spans="2:4" ht="12.75">
      <c r="B50" s="4"/>
      <c r="C50" s="13"/>
      <c r="D50" s="12"/>
    </row>
    <row r="51" spans="1:4" ht="13.5" thickBot="1">
      <c r="A51" s="6" t="s">
        <v>131</v>
      </c>
      <c r="B51" s="20">
        <f>B49+B43++B41+B38</f>
        <v>84324770</v>
      </c>
      <c r="C51" s="13"/>
      <c r="D51" s="20">
        <f>D49+D43++D41+D38</f>
        <v>74370323</v>
      </c>
    </row>
    <row r="52" spans="2:4" ht="12.75">
      <c r="B52" s="10"/>
      <c r="C52" s="13"/>
      <c r="D52" s="12"/>
    </row>
    <row r="53" spans="1:4" ht="15.75" thickBot="1">
      <c r="A53" s="112" t="s">
        <v>21</v>
      </c>
      <c r="B53" s="128">
        <v>103031126</v>
      </c>
      <c r="C53" s="21"/>
      <c r="D53" s="128">
        <v>69875588</v>
      </c>
    </row>
    <row r="54" spans="1:4" ht="16.5" thickTop="1">
      <c r="A54" s="3"/>
      <c r="B54" s="22"/>
      <c r="C54" s="3"/>
      <c r="D54" s="3"/>
    </row>
    <row r="55" spans="1:4" ht="15.75">
      <c r="A55" s="112" t="s">
        <v>22</v>
      </c>
      <c r="B55" s="22"/>
      <c r="C55" s="3"/>
      <c r="D55" s="3"/>
    </row>
    <row r="56" spans="1:4" ht="15">
      <c r="A56" s="23" t="s">
        <v>132</v>
      </c>
      <c r="B56" s="24">
        <v>0.0988</v>
      </c>
      <c r="C56" s="3"/>
      <c r="D56" s="25">
        <v>0.0981</v>
      </c>
    </row>
    <row r="57" spans="1:4" ht="15">
      <c r="A57" s="23" t="s">
        <v>133</v>
      </c>
      <c r="B57" s="24">
        <v>0.119</v>
      </c>
      <c r="C57" s="3"/>
      <c r="D57" s="25">
        <v>0.1228</v>
      </c>
    </row>
    <row r="58" ht="15">
      <c r="A58" s="3"/>
    </row>
    <row r="59" ht="15">
      <c r="A59" s="3"/>
    </row>
    <row r="60" ht="15">
      <c r="A60" s="3"/>
    </row>
    <row r="61" ht="12.75">
      <c r="A61" s="26"/>
    </row>
    <row r="62" ht="12.75">
      <c r="A62" s="26"/>
    </row>
    <row r="63" ht="12.75">
      <c r="A63" s="27"/>
    </row>
    <row r="64" ht="12.75">
      <c r="A64" s="4"/>
    </row>
    <row r="65" ht="12.75">
      <c r="A65" s="4"/>
    </row>
    <row r="66" ht="12.75">
      <c r="A66" s="4"/>
    </row>
    <row r="67" ht="12.75">
      <c r="A67" s="4"/>
    </row>
    <row r="68" ht="12.75">
      <c r="A68" s="27"/>
    </row>
    <row r="69" ht="12.75">
      <c r="A69" s="4"/>
    </row>
    <row r="70" ht="12.75">
      <c r="A70" s="4"/>
    </row>
    <row r="72" ht="12.75">
      <c r="A72" s="26"/>
    </row>
  </sheetData>
  <mergeCells count="2">
    <mergeCell ref="A2:D2"/>
    <mergeCell ref="A4:D4"/>
  </mergeCells>
  <printOptions horizontalCentered="1"/>
  <pageMargins left="0.49" right="0.42" top="0.75" bottom="0.75" header="0.5" footer="0.5"/>
  <pageSetup firstPageNumber="0" useFirstPageNumber="1" horizontalDpi="600" verticalDpi="600" orientation="portrait" paperSize="9" scale="87" r:id="rId2"/>
  <headerFooter alignWithMargins="0">
    <oddHeader>&amp;R&amp;"Arial,Bold"&amp;14Attachment 1</oddHeader>
    <oddFooter>&amp;C&amp;P+1</oddFooter>
  </headerFooter>
  <drawing r:id="rId1"/>
</worksheet>
</file>

<file path=xl/worksheets/sheet2.xml><?xml version="1.0" encoding="utf-8"?>
<worksheet xmlns="http://schemas.openxmlformats.org/spreadsheetml/2006/main" xmlns:r="http://schemas.openxmlformats.org/officeDocument/2006/relationships">
  <dimension ref="A1:J37"/>
  <sheetViews>
    <sheetView workbookViewId="0" topLeftCell="A23">
      <selection activeCell="A37" sqref="A37"/>
    </sheetView>
  </sheetViews>
  <sheetFormatPr defaultColWidth="9.140625" defaultRowHeight="12.75"/>
  <cols>
    <col min="1" max="1" width="40.7109375" style="0" customWidth="1"/>
    <col min="2" max="2" width="12.7109375" style="0" customWidth="1"/>
    <col min="3" max="3" width="0.71875" style="0" customWidth="1"/>
    <col min="4" max="4" width="13.57421875" style="0" customWidth="1"/>
    <col min="5" max="5" width="0.71875" style="0" customWidth="1"/>
    <col min="6" max="6" width="12.7109375" style="0" customWidth="1"/>
    <col min="7" max="7" width="0.71875" style="0" customWidth="1"/>
    <col min="8" max="8" width="13.8515625" style="0" customWidth="1"/>
    <col min="9" max="9" width="10.7109375" style="0" hidden="1" customWidth="1"/>
    <col min="10" max="10" width="13.140625" style="0" hidden="1" customWidth="1"/>
  </cols>
  <sheetData>
    <row r="1" spans="1:8" ht="15">
      <c r="A1" s="200" t="s">
        <v>220</v>
      </c>
      <c r="B1" s="200"/>
      <c r="C1" s="200"/>
      <c r="D1" s="200"/>
      <c r="E1" s="200"/>
      <c r="F1" s="200"/>
      <c r="G1" s="200"/>
      <c r="H1" s="200"/>
    </row>
    <row r="2" spans="1:8" ht="15">
      <c r="A2" s="30"/>
      <c r="B2" s="31"/>
      <c r="C2" s="31"/>
      <c r="D2" s="31"/>
      <c r="E2" s="31"/>
      <c r="F2" s="31"/>
      <c r="G2" s="31"/>
      <c r="H2" s="31"/>
    </row>
    <row r="3" spans="1:8" ht="15">
      <c r="A3" s="32" t="s">
        <v>286</v>
      </c>
      <c r="B3" s="29"/>
      <c r="C3" s="29"/>
      <c r="D3" s="29"/>
      <c r="E3" s="29"/>
      <c r="F3" s="29"/>
      <c r="G3" s="29"/>
      <c r="H3" s="29"/>
    </row>
    <row r="4" spans="1:8" ht="15">
      <c r="A4" s="32" t="s">
        <v>299</v>
      </c>
      <c r="B4" s="29"/>
      <c r="C4" s="29"/>
      <c r="D4" s="29"/>
      <c r="E4" s="29"/>
      <c r="F4" s="29"/>
      <c r="G4" s="29"/>
      <c r="H4" s="29"/>
    </row>
    <row r="5" spans="1:8" ht="15.75">
      <c r="A5" s="33"/>
      <c r="B5" s="29"/>
      <c r="C5" s="29"/>
      <c r="D5" s="29"/>
      <c r="E5" s="29"/>
      <c r="F5" s="29"/>
      <c r="G5" s="29"/>
      <c r="H5" s="29"/>
    </row>
    <row r="6" spans="1:8" ht="15.75">
      <c r="A6" s="33"/>
      <c r="B6" s="201" t="s">
        <v>228</v>
      </c>
      <c r="C6" s="201"/>
      <c r="D6" s="201"/>
      <c r="E6" s="201"/>
      <c r="F6" s="201"/>
      <c r="G6" s="201"/>
      <c r="H6" s="201"/>
    </row>
    <row r="7" spans="1:8" ht="15.75">
      <c r="A7" s="33"/>
      <c r="B7" s="201" t="s">
        <v>229</v>
      </c>
      <c r="C7" s="201"/>
      <c r="D7" s="201"/>
      <c r="E7" s="8"/>
      <c r="F7" s="201" t="s">
        <v>230</v>
      </c>
      <c r="G7" s="201"/>
      <c r="H7" s="201"/>
    </row>
    <row r="8" spans="1:10" ht="12.75">
      <c r="A8" s="1"/>
      <c r="B8" s="110" t="s">
        <v>290</v>
      </c>
      <c r="C8" s="8"/>
      <c r="D8" s="110" t="s">
        <v>292</v>
      </c>
      <c r="E8" s="111"/>
      <c r="F8" s="110" t="s">
        <v>290</v>
      </c>
      <c r="G8" s="8"/>
      <c r="H8" s="110" t="s">
        <v>292</v>
      </c>
      <c r="I8" s="7">
        <v>36341</v>
      </c>
      <c r="J8" s="7">
        <v>35976</v>
      </c>
    </row>
    <row r="9" spans="1:10" ht="12.75">
      <c r="A9" s="1"/>
      <c r="B9" s="8" t="s">
        <v>23</v>
      </c>
      <c r="C9" s="8"/>
      <c r="D9" s="8" t="s">
        <v>23</v>
      </c>
      <c r="E9" s="8"/>
      <c r="F9" s="8" t="s">
        <v>23</v>
      </c>
      <c r="G9" s="8"/>
      <c r="H9" s="8" t="s">
        <v>23</v>
      </c>
      <c r="I9" s="8" t="s">
        <v>23</v>
      </c>
      <c r="J9" s="8" t="s">
        <v>23</v>
      </c>
    </row>
    <row r="10" spans="1:10" ht="12.75">
      <c r="A10" s="1"/>
      <c r="B10" s="1"/>
      <c r="C10" s="1"/>
      <c r="D10" s="1"/>
      <c r="E10" s="1"/>
      <c r="F10" s="1"/>
      <c r="G10" s="1"/>
      <c r="H10" s="1"/>
      <c r="I10" s="1"/>
      <c r="J10" s="1"/>
    </row>
    <row r="11" spans="1:10" ht="12.75">
      <c r="A11" s="1" t="s">
        <v>86</v>
      </c>
      <c r="B11" s="34">
        <f>F11-1905756</f>
        <v>1049057</v>
      </c>
      <c r="C11" s="34"/>
      <c r="D11" s="34">
        <f>H11-1990404</f>
        <v>1021784</v>
      </c>
      <c r="E11" s="34"/>
      <c r="F11" s="34">
        <v>2954813</v>
      </c>
      <c r="G11" s="34"/>
      <c r="H11" s="34">
        <v>3012188</v>
      </c>
      <c r="I11" s="34">
        <v>777889</v>
      </c>
      <c r="J11" s="34">
        <v>1023133</v>
      </c>
    </row>
    <row r="12" spans="1:10" ht="12.75">
      <c r="A12" s="1" t="s">
        <v>87</v>
      </c>
      <c r="B12" s="35">
        <f>F12+952835</f>
        <v>-503503</v>
      </c>
      <c r="C12" s="35"/>
      <c r="D12" s="35">
        <f>H12+1026444</f>
        <v>-522906</v>
      </c>
      <c r="E12" s="35"/>
      <c r="F12" s="35">
        <v>-1456338</v>
      </c>
      <c r="G12" s="35"/>
      <c r="H12" s="35">
        <v>-1549350</v>
      </c>
      <c r="I12" s="35">
        <v>-552813</v>
      </c>
      <c r="J12" s="35">
        <v>-709223</v>
      </c>
    </row>
    <row r="13" spans="1:10" ht="12.75">
      <c r="A13" s="1"/>
      <c r="B13" s="34"/>
      <c r="C13" s="36"/>
      <c r="D13" s="34"/>
      <c r="E13" s="36"/>
      <c r="F13" s="113"/>
      <c r="G13" s="36"/>
      <c r="H13" s="34"/>
      <c r="I13" s="34"/>
      <c r="J13" s="34"/>
    </row>
    <row r="14" spans="1:10" ht="12.75">
      <c r="A14" s="1" t="s">
        <v>88</v>
      </c>
      <c r="B14" s="34">
        <f>SUM(B11:B12)</f>
        <v>545554</v>
      </c>
      <c r="C14" s="36"/>
      <c r="D14" s="34">
        <f>SUM(D11:D12)</f>
        <v>498878</v>
      </c>
      <c r="E14" s="36"/>
      <c r="F14" s="34">
        <f>SUM(F11:F12)</f>
        <v>1498475</v>
      </c>
      <c r="G14" s="36"/>
      <c r="H14" s="34">
        <f>SUM(H11:H12)</f>
        <v>1462838</v>
      </c>
      <c r="I14" s="34">
        <f>SUM(I11:I12)</f>
        <v>225076</v>
      </c>
      <c r="J14" s="34">
        <f>SUM(J11:J12)</f>
        <v>313910</v>
      </c>
    </row>
    <row r="15" spans="1:10" ht="12.75">
      <c r="A15" s="1" t="s">
        <v>89</v>
      </c>
      <c r="B15" s="35">
        <f>F15-357572</f>
        <v>183190</v>
      </c>
      <c r="C15" s="35"/>
      <c r="D15" s="35">
        <f>H15-400961</f>
        <v>189802</v>
      </c>
      <c r="E15" s="35"/>
      <c r="F15" s="35">
        <v>540762</v>
      </c>
      <c r="G15" s="35"/>
      <c r="H15" s="35">
        <v>590763</v>
      </c>
      <c r="I15" s="35">
        <v>65180</v>
      </c>
      <c r="J15" s="35">
        <v>90557</v>
      </c>
    </row>
    <row r="16" spans="1:10" ht="12.75">
      <c r="A16" s="93"/>
      <c r="B16" s="34"/>
      <c r="C16" s="36"/>
      <c r="D16" s="34"/>
      <c r="E16" s="36"/>
      <c r="F16" s="113"/>
      <c r="G16" s="36"/>
      <c r="H16" s="34"/>
      <c r="I16" s="34"/>
      <c r="J16" s="34"/>
    </row>
    <row r="17" spans="1:10" ht="12.75">
      <c r="A17" s="1"/>
      <c r="B17" s="34">
        <f>SUM(B14:B15)</f>
        <v>728744</v>
      </c>
      <c r="C17" s="36"/>
      <c r="D17" s="34">
        <f aca="true" t="shared" si="0" ref="D17:J17">SUM(D14:D15)</f>
        <v>688680</v>
      </c>
      <c r="E17" s="34">
        <f t="shared" si="0"/>
        <v>0</v>
      </c>
      <c r="F17" s="34">
        <f t="shared" si="0"/>
        <v>2039237</v>
      </c>
      <c r="G17" s="34">
        <f t="shared" si="0"/>
        <v>0</v>
      </c>
      <c r="H17" s="34">
        <f t="shared" si="0"/>
        <v>2053601</v>
      </c>
      <c r="I17" s="34">
        <f t="shared" si="0"/>
        <v>290256</v>
      </c>
      <c r="J17" s="34">
        <f t="shared" si="0"/>
        <v>404467</v>
      </c>
    </row>
    <row r="18" spans="1:8" ht="12.75">
      <c r="A18" s="1" t="s">
        <v>113</v>
      </c>
      <c r="B18" s="36">
        <f>F18+394686</f>
        <v>-225649</v>
      </c>
      <c r="C18" s="36"/>
      <c r="D18" s="36">
        <f>H18+319406</f>
        <v>-236232</v>
      </c>
      <c r="E18" s="36"/>
      <c r="F18" s="36">
        <v>-620335</v>
      </c>
      <c r="G18" s="36"/>
      <c r="H18" s="36">
        <v>-555638</v>
      </c>
    </row>
    <row r="19" spans="1:10" ht="12.75">
      <c r="A19" s="1" t="s">
        <v>170</v>
      </c>
      <c r="B19" s="35">
        <f>F19+4277</f>
        <v>3166</v>
      </c>
      <c r="C19" s="35"/>
      <c r="D19" s="35">
        <f>H19+41926</f>
        <v>76</v>
      </c>
      <c r="E19" s="35"/>
      <c r="F19" s="35">
        <v>-1111</v>
      </c>
      <c r="G19" s="35"/>
      <c r="H19" s="35">
        <v>-41850</v>
      </c>
      <c r="I19" s="34">
        <f>SUM(I17:I17)</f>
        <v>290256</v>
      </c>
      <c r="J19" s="34">
        <f>SUM(J17:J17)</f>
        <v>404467</v>
      </c>
    </row>
    <row r="20" spans="1:10" ht="12.75">
      <c r="A20" s="1"/>
      <c r="B20" s="36"/>
      <c r="C20" s="36"/>
      <c r="D20" s="36"/>
      <c r="E20" s="36"/>
      <c r="F20" s="36"/>
      <c r="G20" s="36"/>
      <c r="H20" s="36"/>
      <c r="I20" s="36">
        <v>-154374</v>
      </c>
      <c r="J20" s="36">
        <v>-270837</v>
      </c>
    </row>
    <row r="21" spans="1:10" ht="12.75">
      <c r="A21" s="1" t="s">
        <v>171</v>
      </c>
      <c r="B21" s="36">
        <f>SUM(B17:B19)</f>
        <v>506261</v>
      </c>
      <c r="C21" s="36">
        <f>SUM(C17:C19)</f>
        <v>0</v>
      </c>
      <c r="D21" s="36">
        <f>SUM(D17:D19)</f>
        <v>452524</v>
      </c>
      <c r="E21" s="36"/>
      <c r="F21" s="36">
        <f>SUM(F17:F19)</f>
        <v>1417791</v>
      </c>
      <c r="G21" s="36"/>
      <c r="H21" s="36">
        <f>SUM(H17:H19)</f>
        <v>1456113</v>
      </c>
      <c r="I21" s="36"/>
      <c r="J21" s="36"/>
    </row>
    <row r="22" spans="1:10" ht="12.75">
      <c r="A22" s="1" t="s">
        <v>90</v>
      </c>
      <c r="B22" s="35">
        <f>F22+571432</f>
        <v>-299605</v>
      </c>
      <c r="C22" s="35"/>
      <c r="D22" s="35">
        <f>H22+583804</f>
        <v>-304026</v>
      </c>
      <c r="E22" s="35"/>
      <c r="F22" s="35">
        <v>-871037</v>
      </c>
      <c r="G22" s="35"/>
      <c r="H22" s="35">
        <v>-887830</v>
      </c>
      <c r="I22" s="36"/>
      <c r="J22" s="36"/>
    </row>
    <row r="23" spans="1:10" ht="12.75">
      <c r="A23" s="1"/>
      <c r="B23" s="34"/>
      <c r="C23" s="36"/>
      <c r="D23" s="34"/>
      <c r="E23" s="36"/>
      <c r="F23" s="113"/>
      <c r="G23" s="36"/>
      <c r="H23" s="34"/>
      <c r="I23" s="34"/>
      <c r="J23" s="34"/>
    </row>
    <row r="24" spans="2:10" ht="12.75">
      <c r="B24" s="34">
        <f>SUM(B21:B22)</f>
        <v>206656</v>
      </c>
      <c r="C24" s="34">
        <f>SUM(C21:C22)</f>
        <v>0</v>
      </c>
      <c r="D24" s="34">
        <f>SUM(D21:D22)</f>
        <v>148498</v>
      </c>
      <c r="E24" s="34">
        <f>SUM(E21:E22)</f>
        <v>0</v>
      </c>
      <c r="F24" s="34">
        <f>SUM(F21:F22)</f>
        <v>546754</v>
      </c>
      <c r="G24" s="36"/>
      <c r="H24" s="34">
        <f>SUM(H21:H22)</f>
        <v>568283</v>
      </c>
      <c r="I24" s="34" t="e">
        <f>SUM(#REF!)</f>
        <v>#REF!</v>
      </c>
      <c r="J24" s="34" t="e">
        <f>SUM(#REF!)</f>
        <v>#REF!</v>
      </c>
    </row>
    <row r="25" spans="1:10" ht="12.75">
      <c r="A25" s="1" t="s">
        <v>231</v>
      </c>
      <c r="B25" s="35">
        <f>F25-6467</f>
        <v>2235</v>
      </c>
      <c r="C25" s="35"/>
      <c r="D25" s="35">
        <f>H25-7618</f>
        <v>1313</v>
      </c>
      <c r="E25" s="35"/>
      <c r="F25" s="35">
        <v>8702</v>
      </c>
      <c r="G25" s="35"/>
      <c r="H25" s="35">
        <v>8931</v>
      </c>
      <c r="I25" s="34"/>
      <c r="J25" s="34"/>
    </row>
    <row r="26" spans="1:10" ht="12.75">
      <c r="A26" s="1"/>
      <c r="B26" s="34"/>
      <c r="C26" s="34"/>
      <c r="D26" s="34"/>
      <c r="E26" s="34"/>
      <c r="F26" s="34"/>
      <c r="G26" s="36"/>
      <c r="H26" s="34"/>
      <c r="I26" s="34"/>
      <c r="J26" s="34"/>
    </row>
    <row r="27" spans="1:10" ht="12.75">
      <c r="A27" s="1" t="s">
        <v>159</v>
      </c>
      <c r="B27" s="34">
        <f>SUM(B24:B25)</f>
        <v>208891</v>
      </c>
      <c r="C27" s="34">
        <f>SUM(C24:C25)</f>
        <v>0</v>
      </c>
      <c r="D27" s="34">
        <f>SUM(D24:D25)</f>
        <v>149811</v>
      </c>
      <c r="E27" s="34"/>
      <c r="F27" s="34">
        <f>SUM(F24:F25)</f>
        <v>555456</v>
      </c>
      <c r="G27" s="36"/>
      <c r="H27" s="34">
        <f>SUM(H24:H25)</f>
        <v>577214</v>
      </c>
      <c r="I27" s="34"/>
      <c r="J27" s="34"/>
    </row>
    <row r="28" spans="1:10" ht="12.75">
      <c r="A28" s="1" t="s">
        <v>24</v>
      </c>
      <c r="B28" s="35">
        <f>F28+90276</f>
        <v>-62629</v>
      </c>
      <c r="C28" s="35"/>
      <c r="D28" s="155">
        <f>H28+121347</f>
        <v>-31843</v>
      </c>
      <c r="E28" s="35"/>
      <c r="F28" s="35">
        <v>-152905</v>
      </c>
      <c r="G28" s="35"/>
      <c r="H28" s="155">
        <v>-153190</v>
      </c>
      <c r="I28" s="34">
        <v>0</v>
      </c>
      <c r="J28" s="34">
        <v>-6683</v>
      </c>
    </row>
    <row r="29" spans="1:10" ht="12.75">
      <c r="A29" s="1"/>
      <c r="B29" s="36"/>
      <c r="C29" s="36"/>
      <c r="D29" s="36"/>
      <c r="E29" s="36"/>
      <c r="F29" s="85"/>
      <c r="G29" s="36"/>
      <c r="H29" s="36"/>
      <c r="I29" s="34"/>
      <c r="J29" s="34"/>
    </row>
    <row r="30" spans="1:10" ht="13.5" thickBot="1">
      <c r="A30" s="1" t="s">
        <v>98</v>
      </c>
      <c r="B30" s="36">
        <f>SUM(B27:B28)</f>
        <v>146262</v>
      </c>
      <c r="C30" s="36">
        <f>SUM(C27:C28)</f>
        <v>0</v>
      </c>
      <c r="D30" s="36">
        <f>SUM(D27:D28)</f>
        <v>117968</v>
      </c>
      <c r="E30" s="36"/>
      <c r="F30" s="36">
        <f>SUM(F27:F28)</f>
        <v>402551</v>
      </c>
      <c r="G30" s="36"/>
      <c r="H30" s="36">
        <f>SUM(H27:H28)</f>
        <v>424024</v>
      </c>
      <c r="I30" s="38" t="e">
        <f>SUM(#REF!)</f>
        <v>#REF!</v>
      </c>
      <c r="J30" s="38" t="e">
        <f>SUM(#REF!)</f>
        <v>#REF!</v>
      </c>
    </row>
    <row r="31" spans="1:10" ht="13.5" thickTop="1">
      <c r="A31" s="1" t="s">
        <v>226</v>
      </c>
      <c r="B31" s="36">
        <f>F31+11193</f>
        <v>-5018</v>
      </c>
      <c r="C31" s="36"/>
      <c r="D31" s="36">
        <f>H31+17616</f>
        <v>-9036</v>
      </c>
      <c r="E31" s="36"/>
      <c r="F31" s="36">
        <v>-16211</v>
      </c>
      <c r="G31" s="36"/>
      <c r="H31" s="36">
        <v>-26652</v>
      </c>
      <c r="I31" s="36"/>
      <c r="J31" s="36"/>
    </row>
    <row r="32" spans="1:10" ht="12.75">
      <c r="A32" s="1"/>
      <c r="B32" s="35"/>
      <c r="C32" s="35"/>
      <c r="D32" s="35"/>
      <c r="E32" s="35"/>
      <c r="F32" s="35"/>
      <c r="G32" s="35"/>
      <c r="H32" s="35"/>
      <c r="I32" s="36"/>
      <c r="J32" s="36"/>
    </row>
    <row r="33" spans="1:10" ht="13.5" thickBot="1">
      <c r="A33" s="1" t="s">
        <v>161</v>
      </c>
      <c r="B33" s="83">
        <f>SUM(B30:B31)</f>
        <v>141244</v>
      </c>
      <c r="C33" s="83"/>
      <c r="D33" s="83">
        <f>SUM(D30:D31)</f>
        <v>108932</v>
      </c>
      <c r="E33" s="83"/>
      <c r="F33" s="83">
        <f>SUM(F30:F31)</f>
        <v>386340</v>
      </c>
      <c r="G33" s="83"/>
      <c r="H33" s="83">
        <f>SUM(H30:H31)</f>
        <v>397372</v>
      </c>
      <c r="I33" s="36"/>
      <c r="J33" s="36"/>
    </row>
    <row r="34" spans="1:10" ht="12.75">
      <c r="A34" s="1"/>
      <c r="B34" s="39"/>
      <c r="C34" s="40"/>
      <c r="D34" s="39"/>
      <c r="E34" s="36"/>
      <c r="F34" s="114"/>
      <c r="G34" s="41"/>
      <c r="H34" s="41"/>
      <c r="I34" s="39"/>
      <c r="J34" s="39"/>
    </row>
    <row r="35" spans="1:10" ht="13.5" thickBot="1">
      <c r="A35" s="1" t="s">
        <v>232</v>
      </c>
      <c r="B35" s="41">
        <f>B33/2549611*100</f>
        <v>5.539825487103719</v>
      </c>
      <c r="C35" s="41"/>
      <c r="D35" s="41">
        <f>D33/2462163*100</f>
        <v>4.424239987360707</v>
      </c>
      <c r="E35" s="41"/>
      <c r="F35" s="41">
        <f>F33/2549611*100</f>
        <v>15.152899795302108</v>
      </c>
      <c r="G35" s="41"/>
      <c r="H35" s="41">
        <f>H33/2462163*100</f>
        <v>16.13914269688887</v>
      </c>
      <c r="I35" s="42" t="e">
        <f>#REF!/855776*100</f>
        <v>#REF!</v>
      </c>
      <c r="J35" s="42" t="e">
        <f>#REF!/755775*100</f>
        <v>#REF!</v>
      </c>
    </row>
    <row r="36" spans="1:10" ht="14.25" thickBot="1" thickTop="1">
      <c r="A36" s="1" t="s">
        <v>398</v>
      </c>
      <c r="B36" s="198">
        <v>0</v>
      </c>
      <c r="C36" s="197"/>
      <c r="D36" s="198">
        <v>0</v>
      </c>
      <c r="E36" s="197"/>
      <c r="F36" s="197">
        <v>15.2</v>
      </c>
      <c r="G36" s="197"/>
      <c r="H36" s="197">
        <v>16.1</v>
      </c>
      <c r="I36" s="41"/>
      <c r="J36" s="41"/>
    </row>
    <row r="37" spans="1:10" ht="12.75">
      <c r="A37" s="1"/>
      <c r="B37" s="41"/>
      <c r="C37" s="41"/>
      <c r="D37" s="41"/>
      <c r="E37" s="41"/>
      <c r="F37" s="41"/>
      <c r="G37" s="41"/>
      <c r="H37" s="41"/>
      <c r="I37" s="41"/>
      <c r="J37" s="41"/>
    </row>
  </sheetData>
  <mergeCells count="4">
    <mergeCell ref="B7:D7"/>
    <mergeCell ref="F7:H7"/>
    <mergeCell ref="A1:H1"/>
    <mergeCell ref="B6:H6"/>
  </mergeCells>
  <printOptions horizontalCentered="1"/>
  <pageMargins left="0.5" right="0.5" top="0.75" bottom="0.75" header="0.5" footer="0.5"/>
  <pageSetup firstPageNumber="2" useFirstPageNumber="1" horizontalDpi="600" verticalDpi="600" orientation="portrait" scale="90" r:id="rId2"/>
  <headerFooter alignWithMargins="0">
    <oddFooter>&amp;C&amp;N+1</oddFooter>
  </headerFooter>
  <drawing r:id="rId1"/>
</worksheet>
</file>

<file path=xl/worksheets/sheet3.xml><?xml version="1.0" encoding="utf-8"?>
<worksheet xmlns="http://schemas.openxmlformats.org/spreadsheetml/2006/main" xmlns:r="http://schemas.openxmlformats.org/officeDocument/2006/relationships">
  <dimension ref="A1:D84"/>
  <sheetViews>
    <sheetView workbookViewId="0" topLeftCell="A47">
      <selection activeCell="A52" sqref="A52"/>
    </sheetView>
  </sheetViews>
  <sheetFormatPr defaultColWidth="9.140625" defaultRowHeight="12.75"/>
  <cols>
    <col min="1" max="1" width="61.7109375" style="0" customWidth="1"/>
    <col min="2" max="2" width="12.140625" style="0" customWidth="1"/>
    <col min="3" max="3" width="0.71875" style="0" customWidth="1"/>
    <col min="4" max="4" width="12.140625" style="0" customWidth="1"/>
  </cols>
  <sheetData>
    <row r="1" spans="1:4" ht="15">
      <c r="A1" s="200" t="s">
        <v>220</v>
      </c>
      <c r="B1" s="200"/>
      <c r="C1" s="200"/>
      <c r="D1" s="200"/>
    </row>
    <row r="2" spans="1:4" ht="15">
      <c r="A2" s="30"/>
      <c r="B2" s="31"/>
      <c r="C2" s="31"/>
      <c r="D2" s="31"/>
    </row>
    <row r="3" spans="1:4" ht="15">
      <c r="A3" s="32" t="s">
        <v>287</v>
      </c>
      <c r="B3" s="29"/>
      <c r="C3" s="29"/>
      <c r="D3" s="29"/>
    </row>
    <row r="4" spans="1:4" ht="15">
      <c r="A4" s="32" t="s">
        <v>299</v>
      </c>
      <c r="B4" s="29"/>
      <c r="C4" s="29"/>
      <c r="D4" s="29"/>
    </row>
    <row r="6" ht="12.75">
      <c r="D6" s="8" t="s">
        <v>25</v>
      </c>
    </row>
    <row r="7" spans="3:4" ht="12.75">
      <c r="C7" s="8"/>
      <c r="D7" s="110" t="s">
        <v>349</v>
      </c>
    </row>
    <row r="8" spans="3:4" ht="12.75">
      <c r="C8" s="8"/>
      <c r="D8" s="8" t="s">
        <v>1</v>
      </c>
    </row>
    <row r="10" spans="1:4" ht="12.75">
      <c r="A10" s="181" t="s">
        <v>303</v>
      </c>
      <c r="C10" s="152"/>
      <c r="D10" s="152"/>
    </row>
    <row r="11" spans="1:4" ht="12.75">
      <c r="A11" s="9"/>
      <c r="C11" s="152"/>
      <c r="D11" s="179"/>
    </row>
    <row r="12" spans="1:4" ht="12.75">
      <c r="A12" s="182" t="s">
        <v>233</v>
      </c>
      <c r="C12" s="152"/>
      <c r="D12" s="179">
        <v>555456</v>
      </c>
    </row>
    <row r="13" spans="1:4" ht="12.75">
      <c r="A13" s="182" t="s">
        <v>207</v>
      </c>
      <c r="C13" s="152"/>
      <c r="D13" s="179"/>
    </row>
    <row r="14" spans="1:4" ht="12.75">
      <c r="A14" s="182" t="s">
        <v>169</v>
      </c>
      <c r="C14" s="152"/>
      <c r="D14" s="130">
        <v>77737</v>
      </c>
    </row>
    <row r="15" spans="1:4" ht="12.75">
      <c r="A15" s="182" t="s">
        <v>336</v>
      </c>
      <c r="C15" s="152"/>
      <c r="D15" s="131">
        <v>-64</v>
      </c>
    </row>
    <row r="16" spans="1:4" ht="12.75">
      <c r="A16" s="182" t="s">
        <v>304</v>
      </c>
      <c r="C16" s="152"/>
      <c r="D16" s="131">
        <v>11</v>
      </c>
    </row>
    <row r="17" spans="1:4" ht="12.75">
      <c r="A17" s="182" t="s">
        <v>305</v>
      </c>
      <c r="C17" s="152"/>
      <c r="D17" s="131">
        <v>-20281</v>
      </c>
    </row>
    <row r="18" spans="1:4" ht="12.75">
      <c r="A18" s="182" t="s">
        <v>354</v>
      </c>
      <c r="C18" s="152"/>
      <c r="D18" s="131">
        <v>-8702</v>
      </c>
    </row>
    <row r="19" spans="1:4" ht="12.75">
      <c r="A19" s="182" t="s">
        <v>306</v>
      </c>
      <c r="C19" s="152"/>
      <c r="D19" s="131">
        <v>584967</v>
      </c>
    </row>
    <row r="20" spans="1:4" ht="12.75">
      <c r="A20" s="182" t="s">
        <v>307</v>
      </c>
      <c r="C20" s="152"/>
      <c r="D20" s="131">
        <v>202344</v>
      </c>
    </row>
    <row r="21" spans="1:4" ht="12.75">
      <c r="A21" s="182" t="s">
        <v>308</v>
      </c>
      <c r="C21" s="152"/>
      <c r="D21" s="131">
        <v>-14802</v>
      </c>
    </row>
    <row r="22" spans="1:4" ht="12.75">
      <c r="A22" s="182" t="s">
        <v>309</v>
      </c>
      <c r="C22" s="152"/>
      <c r="D22" s="131">
        <v>-13486</v>
      </c>
    </row>
    <row r="23" spans="1:4" ht="12.75">
      <c r="A23" s="182" t="s">
        <v>310</v>
      </c>
      <c r="C23" s="152"/>
      <c r="D23" s="131">
        <v>82892</v>
      </c>
    </row>
    <row r="24" spans="1:4" ht="12.75">
      <c r="A24" s="182" t="s">
        <v>311</v>
      </c>
      <c r="C24" s="152"/>
      <c r="D24" s="131">
        <v>-148241</v>
      </c>
    </row>
    <row r="25" spans="1:4" ht="12.75">
      <c r="A25" s="182" t="s">
        <v>312</v>
      </c>
      <c r="C25" s="152"/>
      <c r="D25" s="131">
        <v>-4150</v>
      </c>
    </row>
    <row r="26" spans="1:4" ht="12.75">
      <c r="A26" s="182" t="s">
        <v>313</v>
      </c>
      <c r="C26" s="152"/>
      <c r="D26" s="131">
        <v>63882</v>
      </c>
    </row>
    <row r="27" spans="1:4" ht="12.75">
      <c r="A27" s="182" t="s">
        <v>314</v>
      </c>
      <c r="C27" s="152"/>
      <c r="D27" s="131">
        <v>4704</v>
      </c>
    </row>
    <row r="28" spans="1:4" ht="12.75">
      <c r="A28" s="182" t="s">
        <v>170</v>
      </c>
      <c r="C28" s="152"/>
      <c r="D28" s="131">
        <v>1711</v>
      </c>
    </row>
    <row r="29" spans="1:4" ht="12.75">
      <c r="A29" s="182" t="s">
        <v>315</v>
      </c>
      <c r="C29" s="152"/>
      <c r="D29" s="132">
        <v>5109</v>
      </c>
    </row>
    <row r="30" spans="1:4" ht="12.75">
      <c r="A30" s="182"/>
      <c r="C30" s="152"/>
      <c r="D30" s="187">
        <f>SUM(D14:D29)</f>
        <v>813631</v>
      </c>
    </row>
    <row r="31" spans="1:4" ht="12.75">
      <c r="A31" s="182"/>
      <c r="C31" s="152"/>
      <c r="D31" s="179">
        <f>D12+D30</f>
        <v>1369087</v>
      </c>
    </row>
    <row r="32" spans="1:4" ht="12.75">
      <c r="A32" s="182"/>
      <c r="C32" s="152"/>
      <c r="D32" s="179"/>
    </row>
    <row r="33" spans="1:4" ht="12.75">
      <c r="A33" s="181" t="s">
        <v>316</v>
      </c>
      <c r="C33" s="152"/>
      <c r="D33" s="179"/>
    </row>
    <row r="34" spans="1:4" ht="12.75">
      <c r="A34" s="182" t="s">
        <v>317</v>
      </c>
      <c r="C34" s="152"/>
      <c r="D34" s="130">
        <v>-852141</v>
      </c>
    </row>
    <row r="35" spans="1:4" ht="12.75">
      <c r="A35" s="182" t="s">
        <v>221</v>
      </c>
      <c r="C35" s="152"/>
      <c r="D35" s="131">
        <v>238666</v>
      </c>
    </row>
    <row r="36" spans="1:4" ht="12.75">
      <c r="A36" s="182" t="s">
        <v>318</v>
      </c>
      <c r="D36" s="131">
        <v>-2963354</v>
      </c>
    </row>
    <row r="37" spans="1:4" ht="12.75">
      <c r="A37" s="182" t="s">
        <v>319</v>
      </c>
      <c r="D37" s="131">
        <v>-3067203</v>
      </c>
    </row>
    <row r="38" spans="1:4" ht="12.75">
      <c r="A38" s="182" t="s">
        <v>4</v>
      </c>
      <c r="D38" s="131">
        <v>499901</v>
      </c>
    </row>
    <row r="39" spans="1:4" ht="12.75">
      <c r="A39" s="182" t="s">
        <v>320</v>
      </c>
      <c r="D39" s="132">
        <v>-346444</v>
      </c>
    </row>
    <row r="40" spans="1:4" ht="12.75">
      <c r="A40" s="182"/>
      <c r="D40" s="179">
        <f>SUM(D34:D39)</f>
        <v>-6490575</v>
      </c>
    </row>
    <row r="41" spans="1:4" ht="12.75">
      <c r="A41" s="181" t="s">
        <v>321</v>
      </c>
      <c r="D41" s="179"/>
    </row>
    <row r="42" spans="1:4" ht="12.75">
      <c r="A42" s="182" t="s">
        <v>10</v>
      </c>
      <c r="D42" s="130">
        <v>6546538</v>
      </c>
    </row>
    <row r="43" spans="1:4" ht="12.75">
      <c r="A43" s="182" t="s">
        <v>322</v>
      </c>
      <c r="D43" s="131">
        <v>1824107</v>
      </c>
    </row>
    <row r="44" spans="1:4" ht="12.75">
      <c r="A44" s="182" t="s">
        <v>323</v>
      </c>
      <c r="D44" s="131">
        <v>-1312123</v>
      </c>
    </row>
    <row r="45" spans="1:4" ht="12.75">
      <c r="A45" s="183" t="s">
        <v>324</v>
      </c>
      <c r="D45" s="131">
        <v>23305</v>
      </c>
    </row>
    <row r="46" spans="1:4" ht="12.75">
      <c r="A46" s="182" t="s">
        <v>325</v>
      </c>
      <c r="D46" s="131">
        <v>2182085</v>
      </c>
    </row>
    <row r="47" spans="1:4" ht="12.75">
      <c r="A47" s="182" t="s">
        <v>15</v>
      </c>
      <c r="D47" s="184">
        <v>200831</v>
      </c>
    </row>
    <row r="48" ht="12.75">
      <c r="D48" s="187">
        <f>SUM(D42:D47)</f>
        <v>9464743</v>
      </c>
    </row>
    <row r="49" spans="1:4" ht="12.75">
      <c r="A49" s="182" t="s">
        <v>326</v>
      </c>
      <c r="D49" s="179">
        <f>D31+D40+D48</f>
        <v>4343255</v>
      </c>
    </row>
    <row r="50" spans="1:4" ht="12.75">
      <c r="A50" s="182"/>
      <c r="D50" s="179"/>
    </row>
    <row r="51" spans="1:4" ht="12.75">
      <c r="A51" s="182" t="s">
        <v>234</v>
      </c>
      <c r="D51" s="179">
        <v>-342506</v>
      </c>
    </row>
    <row r="52" spans="1:4" ht="12.75">
      <c r="A52" s="183" t="s">
        <v>235</v>
      </c>
      <c r="D52" s="146">
        <v>-5109</v>
      </c>
    </row>
    <row r="53" spans="1:4" ht="12.75">
      <c r="A53" s="183"/>
      <c r="D53" s="179"/>
    </row>
    <row r="54" spans="1:4" ht="12.75">
      <c r="A54" s="182" t="s">
        <v>355</v>
      </c>
      <c r="D54" s="179">
        <f>SUM(D49:D52)</f>
        <v>3995640</v>
      </c>
    </row>
    <row r="55" spans="1:4" ht="12.75">
      <c r="A55" s="182"/>
      <c r="D55" s="179"/>
    </row>
    <row r="56" spans="1:4" ht="12.75">
      <c r="A56" s="181" t="s">
        <v>327</v>
      </c>
      <c r="D56" s="179"/>
    </row>
    <row r="57" spans="1:4" ht="12.75">
      <c r="A57" s="181"/>
      <c r="D57" s="179"/>
    </row>
    <row r="58" spans="1:4" ht="12.75">
      <c r="A58" s="182" t="s">
        <v>312</v>
      </c>
      <c r="D58" s="130">
        <v>4150</v>
      </c>
    </row>
    <row r="59" spans="1:4" ht="12.75">
      <c r="A59" s="182" t="s">
        <v>328</v>
      </c>
      <c r="D59" s="131">
        <v>4751</v>
      </c>
    </row>
    <row r="60" spans="1:4" ht="12.75">
      <c r="A60" s="182" t="s">
        <v>341</v>
      </c>
      <c r="D60" s="131">
        <v>-2035283</v>
      </c>
    </row>
    <row r="61" spans="1:4" ht="12.75">
      <c r="A61" s="182" t="s">
        <v>340</v>
      </c>
      <c r="D61" s="185">
        <v>-422</v>
      </c>
    </row>
    <row r="62" spans="1:4" ht="12.75">
      <c r="A62" s="182" t="s">
        <v>329</v>
      </c>
      <c r="D62" s="186">
        <v>-87242</v>
      </c>
    </row>
    <row r="63" spans="1:4" ht="12.75">
      <c r="A63" s="182" t="s">
        <v>236</v>
      </c>
      <c r="D63" s="179">
        <f>SUM(D58:D62)</f>
        <v>-2114046</v>
      </c>
    </row>
    <row r="64" spans="1:4" ht="12.75">
      <c r="A64" s="182"/>
      <c r="D64" s="179"/>
    </row>
    <row r="65" spans="1:4" ht="12.75">
      <c r="A65" s="181" t="s">
        <v>330</v>
      </c>
      <c r="D65" s="179"/>
    </row>
    <row r="66" spans="1:4" ht="12.75">
      <c r="A66" s="182"/>
      <c r="D66" s="179"/>
    </row>
    <row r="67" spans="1:4" ht="12.75">
      <c r="A67" s="182" t="s">
        <v>338</v>
      </c>
      <c r="D67" s="130">
        <v>-608032</v>
      </c>
    </row>
    <row r="68" spans="1:4" ht="12.75">
      <c r="A68" s="182" t="s">
        <v>337</v>
      </c>
      <c r="D68" s="131">
        <v>-8036</v>
      </c>
    </row>
    <row r="69" spans="1:4" ht="12.75">
      <c r="A69" s="182" t="s">
        <v>331</v>
      </c>
      <c r="D69" s="185">
        <v>-50697</v>
      </c>
    </row>
    <row r="70" spans="1:4" ht="12.75">
      <c r="A70" s="182" t="s">
        <v>332</v>
      </c>
      <c r="D70" s="185">
        <v>839673</v>
      </c>
    </row>
    <row r="71" spans="1:4" ht="12.75">
      <c r="A71" s="182" t="s">
        <v>339</v>
      </c>
      <c r="D71" s="185">
        <v>47000</v>
      </c>
    </row>
    <row r="72" spans="1:4" ht="12.75">
      <c r="A72" s="182" t="s">
        <v>333</v>
      </c>
      <c r="D72" s="186">
        <v>-1613</v>
      </c>
    </row>
    <row r="73" spans="1:4" ht="12.75">
      <c r="A73" s="182" t="s">
        <v>356</v>
      </c>
      <c r="D73" s="179">
        <f>SUM(D67:D72)</f>
        <v>218295</v>
      </c>
    </row>
    <row r="74" spans="1:4" ht="12.75">
      <c r="A74" s="182"/>
      <c r="D74" s="180"/>
    </row>
    <row r="75" spans="1:4" ht="12.75">
      <c r="A75" s="182" t="s">
        <v>334</v>
      </c>
      <c r="D75" s="188">
        <v>6333</v>
      </c>
    </row>
    <row r="76" spans="1:4" ht="12.75">
      <c r="A76" s="182"/>
      <c r="D76" s="37"/>
    </row>
    <row r="77" spans="1:4" ht="12.75">
      <c r="A77" s="182" t="s">
        <v>237</v>
      </c>
      <c r="D77" s="179">
        <f>D54+D63+D73+D75</f>
        <v>2106222</v>
      </c>
    </row>
    <row r="78" spans="1:4" ht="12.75">
      <c r="A78" s="182"/>
      <c r="D78" s="37"/>
    </row>
    <row r="79" spans="1:4" ht="12.75">
      <c r="A79" s="182" t="s">
        <v>238</v>
      </c>
      <c r="D79" s="146">
        <v>5091715</v>
      </c>
    </row>
    <row r="80" spans="1:4" ht="12.75">
      <c r="A80" s="182"/>
      <c r="D80" s="37"/>
    </row>
    <row r="81" spans="1:4" ht="13.5" thickBot="1">
      <c r="A81" s="182" t="s">
        <v>335</v>
      </c>
      <c r="D81" s="189">
        <f>SUM(D77:D79)</f>
        <v>7197937</v>
      </c>
    </row>
    <row r="82" ht="13.5" thickTop="1"/>
    <row r="83" ht="12.75">
      <c r="A83" s="162" t="s">
        <v>357</v>
      </c>
    </row>
    <row r="84" ht="12.75">
      <c r="A84" s="194" t="s">
        <v>351</v>
      </c>
    </row>
  </sheetData>
  <mergeCells count="1">
    <mergeCell ref="A1:D1"/>
  </mergeCells>
  <printOptions/>
  <pageMargins left="0.75" right="0.75" top="1" bottom="1" header="0.5" footer="0.5"/>
  <pageSetup horizontalDpi="600" verticalDpi="600" orientation="portrait" paperSize="9" scale="97" r:id="rId2"/>
  <headerFooter alignWithMargins="0">
    <oddFooter>&amp;C&amp;P+2</oddFooter>
  </headerFooter>
  <rowBreaks count="1" manualBreakCount="1">
    <brk id="54" max="3" man="1"/>
  </rowBreaks>
  <drawing r:id="rId1"/>
</worksheet>
</file>

<file path=xl/worksheets/sheet4.xml><?xml version="1.0" encoding="utf-8"?>
<worksheet xmlns="http://schemas.openxmlformats.org/spreadsheetml/2006/main" xmlns:r="http://schemas.openxmlformats.org/officeDocument/2006/relationships">
  <dimension ref="A1:J36"/>
  <sheetViews>
    <sheetView zoomScaleSheetLayoutView="75" workbookViewId="0" topLeftCell="A12">
      <selection activeCell="A19" sqref="A19"/>
    </sheetView>
  </sheetViews>
  <sheetFormatPr defaultColWidth="9.140625" defaultRowHeight="12.75"/>
  <cols>
    <col min="1" max="1" width="46.57421875" style="0" customWidth="1"/>
    <col min="2" max="2" width="12.28125" style="0" bestFit="1" customWidth="1"/>
    <col min="3" max="3" width="13.28125" style="0" bestFit="1" customWidth="1"/>
    <col min="4" max="4" width="10.57421875" style="0" bestFit="1" customWidth="1"/>
    <col min="5" max="5" width="9.7109375" style="0" bestFit="1" customWidth="1"/>
    <col min="6" max="6" width="12.00390625" style="0" bestFit="1" customWidth="1"/>
    <col min="7" max="7" width="9.7109375" style="0" bestFit="1" customWidth="1"/>
    <col min="8" max="8" width="12.28125" style="0" bestFit="1" customWidth="1"/>
    <col min="9" max="9" width="10.28125" style="0" bestFit="1" customWidth="1"/>
    <col min="10" max="10" width="12.28125" style="0" bestFit="1" customWidth="1"/>
  </cols>
  <sheetData>
    <row r="1" spans="1:10" ht="15">
      <c r="A1" s="200" t="s">
        <v>220</v>
      </c>
      <c r="B1" s="200"/>
      <c r="C1" s="200"/>
      <c r="D1" s="200"/>
      <c r="E1" s="200"/>
      <c r="F1" s="200"/>
      <c r="G1" s="200"/>
      <c r="H1" s="200"/>
      <c r="I1" s="200"/>
      <c r="J1" s="200"/>
    </row>
    <row r="2" spans="1:10" ht="15">
      <c r="A2" s="2"/>
      <c r="B2" s="2"/>
      <c r="C2" s="2"/>
      <c r="D2" s="2"/>
      <c r="E2" s="2"/>
      <c r="F2" s="2"/>
      <c r="G2" s="2"/>
      <c r="H2" s="2"/>
      <c r="I2" s="2"/>
      <c r="J2" s="2"/>
    </row>
    <row r="3" spans="1:10" ht="15.75" customHeight="1">
      <c r="A3" s="201" t="s">
        <v>288</v>
      </c>
      <c r="B3" s="201"/>
      <c r="C3" s="201"/>
      <c r="D3" s="201"/>
      <c r="E3" s="201"/>
      <c r="F3" s="201"/>
      <c r="G3" s="201"/>
      <c r="H3" s="201"/>
      <c r="I3" s="201"/>
      <c r="J3" s="201"/>
    </row>
    <row r="4" spans="1:10" ht="15.75" customHeight="1">
      <c r="A4" s="201" t="s">
        <v>299</v>
      </c>
      <c r="B4" s="201"/>
      <c r="C4" s="201"/>
      <c r="D4" s="201"/>
      <c r="E4" s="201"/>
      <c r="F4" s="201"/>
      <c r="G4" s="201"/>
      <c r="H4" s="201"/>
      <c r="I4" s="201"/>
      <c r="J4" s="201"/>
    </row>
    <row r="5" spans="1:3" ht="15.75">
      <c r="A5" s="163"/>
      <c r="B5" s="156"/>
      <c r="C5" s="156"/>
    </row>
    <row r="6" ht="12.75">
      <c r="A6" s="157"/>
    </row>
    <row r="7" spans="1:10" ht="12.75">
      <c r="A7" s="162" t="s">
        <v>239</v>
      </c>
      <c r="B7" s="157"/>
      <c r="C7" s="157"/>
      <c r="D7" s="157"/>
      <c r="E7" s="158" t="s">
        <v>240</v>
      </c>
      <c r="F7" s="159"/>
      <c r="G7" s="157"/>
      <c r="H7" s="202" t="s">
        <v>241</v>
      </c>
      <c r="I7" s="202"/>
      <c r="J7" s="157"/>
    </row>
    <row r="8" spans="1:10" ht="12.75">
      <c r="A8" s="162" t="s">
        <v>350</v>
      </c>
      <c r="B8" s="161"/>
      <c r="C8" s="161"/>
      <c r="D8" s="158"/>
      <c r="E8" s="158"/>
      <c r="F8" s="160" t="s">
        <v>242</v>
      </c>
      <c r="G8" s="161"/>
      <c r="H8" s="160"/>
      <c r="I8" s="160"/>
      <c r="J8" s="161"/>
    </row>
    <row r="9" spans="2:10" ht="12.75">
      <c r="B9" s="160"/>
      <c r="C9" s="160"/>
      <c r="D9" s="160"/>
      <c r="E9" s="160"/>
      <c r="F9" s="160" t="s">
        <v>243</v>
      </c>
      <c r="G9" s="160" t="s">
        <v>244</v>
      </c>
      <c r="H9" s="160"/>
      <c r="I9" s="160"/>
      <c r="J9" s="161"/>
    </row>
    <row r="10" spans="2:10" ht="12.75">
      <c r="B10" s="160" t="s">
        <v>245</v>
      </c>
      <c r="C10" s="160" t="s">
        <v>245</v>
      </c>
      <c r="D10" s="160" t="s">
        <v>246</v>
      </c>
      <c r="E10" s="160" t="s">
        <v>247</v>
      </c>
      <c r="F10" s="160" t="s">
        <v>248</v>
      </c>
      <c r="G10" s="160" t="s">
        <v>249</v>
      </c>
      <c r="H10" s="160" t="s">
        <v>250</v>
      </c>
      <c r="I10" s="160" t="s">
        <v>251</v>
      </c>
      <c r="J10" s="161"/>
    </row>
    <row r="11" spans="2:10" ht="12.75">
      <c r="B11" s="160" t="s">
        <v>252</v>
      </c>
      <c r="C11" s="160" t="s">
        <v>253</v>
      </c>
      <c r="D11" s="160" t="s">
        <v>243</v>
      </c>
      <c r="E11" s="160" t="s">
        <v>243</v>
      </c>
      <c r="F11" s="160" t="s">
        <v>254</v>
      </c>
      <c r="G11" s="160" t="s">
        <v>243</v>
      </c>
      <c r="H11" s="160" t="s">
        <v>255</v>
      </c>
      <c r="I11" s="160" t="s">
        <v>256</v>
      </c>
      <c r="J11" s="160" t="s">
        <v>26</v>
      </c>
    </row>
    <row r="12" spans="2:10" ht="12.75">
      <c r="B12" s="160" t="s">
        <v>1</v>
      </c>
      <c r="C12" s="160" t="s">
        <v>1</v>
      </c>
      <c r="D12" s="160" t="s">
        <v>1</v>
      </c>
      <c r="E12" s="160" t="s">
        <v>1</v>
      </c>
      <c r="F12" s="160" t="s">
        <v>1</v>
      </c>
      <c r="G12" s="160" t="s">
        <v>1</v>
      </c>
      <c r="H12" s="160" t="s">
        <v>1</v>
      </c>
      <c r="I12" s="160" t="s">
        <v>1</v>
      </c>
      <c r="J12" s="160" t="s">
        <v>1</v>
      </c>
    </row>
    <row r="14" spans="1:10" ht="12.75">
      <c r="A14" s="161"/>
      <c r="B14" s="161"/>
      <c r="C14" s="161"/>
      <c r="D14" s="161"/>
      <c r="E14" s="161"/>
      <c r="F14" s="161"/>
      <c r="G14" s="161"/>
      <c r="H14" s="161"/>
      <c r="I14" s="161"/>
      <c r="J14" s="161"/>
    </row>
    <row r="15" spans="1:10" ht="12.75">
      <c r="A15" s="162" t="s">
        <v>257</v>
      </c>
      <c r="B15" s="161"/>
      <c r="C15" s="161"/>
      <c r="D15" s="161"/>
      <c r="E15" s="161"/>
      <c r="F15" s="161"/>
      <c r="G15" s="161"/>
      <c r="H15" s="161"/>
      <c r="I15" s="161"/>
      <c r="J15" s="161"/>
    </row>
    <row r="16" spans="1:10" ht="12.75">
      <c r="A16" s="162" t="s">
        <v>258</v>
      </c>
      <c r="B16" s="164">
        <v>1184647</v>
      </c>
      <c r="C16" s="164">
        <v>2257812</v>
      </c>
      <c r="D16" s="164">
        <v>857471</v>
      </c>
      <c r="E16" s="164">
        <v>65746</v>
      </c>
      <c r="F16" s="164">
        <v>28233</v>
      </c>
      <c r="G16" s="164">
        <v>79971</v>
      </c>
      <c r="H16" s="164">
        <v>1110373</v>
      </c>
      <c r="I16" s="164">
        <v>-79085</v>
      </c>
      <c r="J16" s="165">
        <f>SUM(B16:I16)</f>
        <v>5505168</v>
      </c>
    </row>
    <row r="17" spans="1:10" ht="12.75">
      <c r="A17" s="162" t="s">
        <v>259</v>
      </c>
      <c r="B17" s="166">
        <v>0</v>
      </c>
      <c r="C17" s="166">
        <v>0</v>
      </c>
      <c r="D17" s="166">
        <v>0</v>
      </c>
      <c r="E17" s="166">
        <v>0</v>
      </c>
      <c r="F17" s="166">
        <v>0</v>
      </c>
      <c r="G17" s="166">
        <v>0</v>
      </c>
      <c r="H17" s="166">
        <v>50697</v>
      </c>
      <c r="I17" s="166">
        <v>0</v>
      </c>
      <c r="J17" s="166">
        <f>SUM(B17:I17)</f>
        <v>50697</v>
      </c>
    </row>
    <row r="18" spans="1:10" ht="12.75">
      <c r="A18" s="162" t="s">
        <v>260</v>
      </c>
      <c r="B18" s="164">
        <f>SUM(B16:B17)</f>
        <v>1184647</v>
      </c>
      <c r="C18" s="164">
        <f aca="true" t="shared" si="0" ref="C18:I18">SUM(C16:C17)</f>
        <v>2257812</v>
      </c>
      <c r="D18" s="164">
        <f t="shared" si="0"/>
        <v>857471</v>
      </c>
      <c r="E18" s="164">
        <f t="shared" si="0"/>
        <v>65746</v>
      </c>
      <c r="F18" s="164">
        <f t="shared" si="0"/>
        <v>28233</v>
      </c>
      <c r="G18" s="164">
        <f t="shared" si="0"/>
        <v>79971</v>
      </c>
      <c r="H18" s="164">
        <f t="shared" si="0"/>
        <v>1161070</v>
      </c>
      <c r="I18" s="164">
        <f t="shared" si="0"/>
        <v>-79085</v>
      </c>
      <c r="J18" s="165">
        <f>SUM(J16:J17)</f>
        <v>5555865</v>
      </c>
    </row>
    <row r="19" spans="1:10" ht="12.75">
      <c r="A19" s="162"/>
      <c r="B19" s="164"/>
      <c r="C19" s="164"/>
      <c r="D19" s="164"/>
      <c r="E19" s="164"/>
      <c r="F19" s="164"/>
      <c r="G19" s="164"/>
      <c r="H19" s="164"/>
      <c r="I19" s="164"/>
      <c r="J19" s="165"/>
    </row>
    <row r="20" spans="1:10" ht="12.75">
      <c r="A20" s="162" t="s">
        <v>261</v>
      </c>
      <c r="B20" s="167">
        <v>0</v>
      </c>
      <c r="C20" s="168">
        <v>0</v>
      </c>
      <c r="D20" s="168">
        <v>0</v>
      </c>
      <c r="E20" s="168">
        <v>0</v>
      </c>
      <c r="F20" s="168">
        <v>0</v>
      </c>
      <c r="G20" s="168">
        <v>-2239</v>
      </c>
      <c r="H20" s="168">
        <v>0</v>
      </c>
      <c r="I20" s="168">
        <v>0</v>
      </c>
      <c r="J20" s="169">
        <f>SUM(B20:I20)</f>
        <v>-2239</v>
      </c>
    </row>
    <row r="21" spans="1:10" ht="12.75">
      <c r="A21" s="162" t="s">
        <v>262</v>
      </c>
      <c r="B21" s="165"/>
      <c r="C21" s="165"/>
      <c r="D21" s="165"/>
      <c r="E21" s="165"/>
      <c r="F21" s="165"/>
      <c r="G21" s="165"/>
      <c r="H21" s="165"/>
      <c r="I21" s="165"/>
      <c r="J21" s="165"/>
    </row>
    <row r="22" spans="1:10" ht="12.75">
      <c r="A22" s="162" t="s">
        <v>263</v>
      </c>
      <c r="B22" s="165"/>
      <c r="C22" s="165"/>
      <c r="D22" s="165"/>
      <c r="E22" s="165"/>
      <c r="F22" s="165"/>
      <c r="G22" s="165"/>
      <c r="H22" s="165"/>
      <c r="I22" s="165"/>
      <c r="J22" s="165"/>
    </row>
    <row r="23" spans="1:10" ht="12.75">
      <c r="A23" s="162" t="s">
        <v>264</v>
      </c>
      <c r="B23" s="165">
        <v>0</v>
      </c>
      <c r="C23" s="165">
        <v>0</v>
      </c>
      <c r="D23" s="165">
        <v>0</v>
      </c>
      <c r="E23" s="165">
        <v>0</v>
      </c>
      <c r="F23" s="165">
        <v>0</v>
      </c>
      <c r="G23" s="165">
        <f>G20</f>
        <v>-2239</v>
      </c>
      <c r="H23" s="165">
        <v>0</v>
      </c>
      <c r="I23" s="165">
        <v>0</v>
      </c>
      <c r="J23" s="165">
        <f>SUM(B23:I23)</f>
        <v>-2239</v>
      </c>
    </row>
    <row r="24" spans="1:10" ht="12.75">
      <c r="A24" s="162" t="s">
        <v>265</v>
      </c>
      <c r="B24" s="165">
        <v>0</v>
      </c>
      <c r="C24" s="165">
        <v>0</v>
      </c>
      <c r="D24" s="165">
        <v>0</v>
      </c>
      <c r="E24" s="165">
        <v>0</v>
      </c>
      <c r="F24" s="165">
        <v>0</v>
      </c>
      <c r="G24" s="165">
        <v>0</v>
      </c>
      <c r="H24" s="165">
        <v>386340</v>
      </c>
      <c r="I24" s="165">
        <v>0</v>
      </c>
      <c r="J24" s="165">
        <f aca="true" t="shared" si="1" ref="J24:J33">SUM(B24:I24)</f>
        <v>386340</v>
      </c>
    </row>
    <row r="25" spans="1:10" ht="12.75">
      <c r="A25" s="162" t="s">
        <v>266</v>
      </c>
      <c r="B25" s="165">
        <v>0</v>
      </c>
      <c r="C25" s="165">
        <v>0</v>
      </c>
      <c r="D25" s="165">
        <v>110067</v>
      </c>
      <c r="E25" s="165">
        <v>0</v>
      </c>
      <c r="F25" s="165">
        <v>0</v>
      </c>
      <c r="G25" s="165">
        <v>0</v>
      </c>
      <c r="H25" s="165">
        <v>-110067</v>
      </c>
      <c r="I25" s="165">
        <v>0</v>
      </c>
      <c r="J25" s="165">
        <f t="shared" si="1"/>
        <v>0</v>
      </c>
    </row>
    <row r="26" spans="1:10" ht="12.75">
      <c r="A26" s="162" t="s">
        <v>267</v>
      </c>
      <c r="B26" s="165">
        <v>0</v>
      </c>
      <c r="C26" s="165">
        <v>0</v>
      </c>
      <c r="D26" s="165">
        <v>0</v>
      </c>
      <c r="E26" s="165">
        <v>0</v>
      </c>
      <c r="F26" s="165">
        <v>0</v>
      </c>
      <c r="G26" s="165">
        <v>0</v>
      </c>
      <c r="H26" s="165">
        <v>-4422</v>
      </c>
      <c r="I26" s="165">
        <v>0</v>
      </c>
      <c r="J26" s="165">
        <f t="shared" si="1"/>
        <v>-4422</v>
      </c>
    </row>
    <row r="27" spans="1:10" ht="12.75">
      <c r="A27" s="162" t="s">
        <v>268</v>
      </c>
      <c r="B27" s="165">
        <v>0</v>
      </c>
      <c r="C27" s="165">
        <v>0</v>
      </c>
      <c r="D27" s="165">
        <v>0</v>
      </c>
      <c r="E27" s="165">
        <v>0</v>
      </c>
      <c r="F27" s="165">
        <v>0</v>
      </c>
      <c r="G27" s="165">
        <v>0</v>
      </c>
      <c r="H27" s="165">
        <v>-50697</v>
      </c>
      <c r="I27" s="165">
        <v>0</v>
      </c>
      <c r="J27" s="165">
        <f t="shared" si="1"/>
        <v>-50697</v>
      </c>
    </row>
    <row r="28" spans="1:10" ht="12.75">
      <c r="A28" s="162" t="s">
        <v>269</v>
      </c>
      <c r="B28" s="165"/>
      <c r="C28" s="165"/>
      <c r="D28" s="165">
        <v>0</v>
      </c>
      <c r="E28" s="165">
        <v>0</v>
      </c>
      <c r="F28" s="165">
        <v>0</v>
      </c>
      <c r="G28" s="165">
        <v>0</v>
      </c>
      <c r="H28" s="165">
        <v>0</v>
      </c>
      <c r="I28" s="165">
        <v>0</v>
      </c>
      <c r="J28" s="165">
        <f t="shared" si="1"/>
        <v>0</v>
      </c>
    </row>
    <row r="29" spans="1:10" ht="12.75">
      <c r="A29" s="170" t="s">
        <v>270</v>
      </c>
      <c r="B29" s="165">
        <v>34415</v>
      </c>
      <c r="C29" s="165">
        <v>212020</v>
      </c>
      <c r="D29" s="165">
        <v>0</v>
      </c>
      <c r="E29" s="165">
        <v>0</v>
      </c>
      <c r="F29" s="165">
        <v>0</v>
      </c>
      <c r="G29" s="165">
        <v>0</v>
      </c>
      <c r="H29" s="165">
        <v>0</v>
      </c>
      <c r="I29" s="165">
        <v>0</v>
      </c>
      <c r="J29" s="165">
        <f t="shared" si="1"/>
        <v>246435</v>
      </c>
    </row>
    <row r="30" spans="1:10" ht="12.75">
      <c r="A30" s="170" t="s">
        <v>271</v>
      </c>
      <c r="B30" s="165">
        <v>79629</v>
      </c>
      <c r="C30" s="165">
        <v>513609</v>
      </c>
      <c r="D30" s="165">
        <v>0</v>
      </c>
      <c r="E30" s="165">
        <v>0</v>
      </c>
      <c r="F30" s="165">
        <v>0</v>
      </c>
      <c r="G30" s="165">
        <v>0</v>
      </c>
      <c r="H30" s="165">
        <v>0</v>
      </c>
      <c r="I30" s="165">
        <v>0</v>
      </c>
      <c r="J30" s="165">
        <f t="shared" si="1"/>
        <v>593238</v>
      </c>
    </row>
    <row r="31" spans="1:10" ht="12.75">
      <c r="A31" s="170" t="s">
        <v>291</v>
      </c>
      <c r="B31" s="165">
        <v>1287599</v>
      </c>
      <c r="C31" s="165">
        <v>-1287599</v>
      </c>
      <c r="D31" s="165">
        <v>0</v>
      </c>
      <c r="E31" s="165">
        <v>0</v>
      </c>
      <c r="F31" s="165">
        <v>0</v>
      </c>
      <c r="G31" s="165">
        <v>0</v>
      </c>
      <c r="H31" s="165">
        <v>0</v>
      </c>
      <c r="I31" s="165">
        <v>0</v>
      </c>
      <c r="J31" s="165">
        <f t="shared" si="1"/>
        <v>0</v>
      </c>
    </row>
    <row r="32" spans="1:10" ht="12.75">
      <c r="A32" s="162" t="s">
        <v>272</v>
      </c>
      <c r="B32" s="165">
        <v>0</v>
      </c>
      <c r="C32" s="165">
        <v>0</v>
      </c>
      <c r="D32" s="165">
        <v>0</v>
      </c>
      <c r="E32" s="165">
        <v>0</v>
      </c>
      <c r="F32" s="165">
        <v>0</v>
      </c>
      <c r="G32" s="165">
        <v>0</v>
      </c>
      <c r="H32" s="165">
        <v>0</v>
      </c>
      <c r="I32" s="165">
        <v>-1613</v>
      </c>
      <c r="J32" s="165">
        <f t="shared" si="1"/>
        <v>-1613</v>
      </c>
    </row>
    <row r="33" spans="1:10" ht="12.75">
      <c r="A33" s="162" t="s">
        <v>293</v>
      </c>
      <c r="B33" s="165">
        <v>0</v>
      </c>
      <c r="C33" s="165">
        <v>0</v>
      </c>
      <c r="D33" s="165">
        <v>0</v>
      </c>
      <c r="E33" s="165">
        <v>0</v>
      </c>
      <c r="F33" s="165">
        <v>1568</v>
      </c>
      <c r="G33" s="165">
        <v>0</v>
      </c>
      <c r="H33" s="165">
        <v>0</v>
      </c>
      <c r="I33" s="165">
        <v>0</v>
      </c>
      <c r="J33" s="165">
        <f t="shared" si="1"/>
        <v>1568</v>
      </c>
    </row>
    <row r="34" spans="1:10" ht="12.75">
      <c r="A34" s="161"/>
      <c r="B34" s="165"/>
      <c r="C34" s="165"/>
      <c r="D34" s="165"/>
      <c r="E34" s="165"/>
      <c r="F34" s="165"/>
      <c r="G34" s="165"/>
      <c r="H34" s="165"/>
      <c r="I34" s="165"/>
      <c r="J34" s="165"/>
    </row>
    <row r="35" spans="1:10" ht="13.5" thickBot="1">
      <c r="A35" s="162" t="s">
        <v>273</v>
      </c>
      <c r="B35" s="171">
        <f aca="true" t="shared" si="2" ref="B35:J35">SUM(B23:B33)+B18</f>
        <v>2586290</v>
      </c>
      <c r="C35" s="171">
        <f t="shared" si="2"/>
        <v>1695842</v>
      </c>
      <c r="D35" s="171">
        <f t="shared" si="2"/>
        <v>967538</v>
      </c>
      <c r="E35" s="171">
        <f t="shared" si="2"/>
        <v>65746</v>
      </c>
      <c r="F35" s="171">
        <f t="shared" si="2"/>
        <v>29801</v>
      </c>
      <c r="G35" s="171">
        <f t="shared" si="2"/>
        <v>77732</v>
      </c>
      <c r="H35" s="171">
        <f t="shared" si="2"/>
        <v>1382224</v>
      </c>
      <c r="I35" s="171">
        <f t="shared" si="2"/>
        <v>-80698</v>
      </c>
      <c r="J35" s="171">
        <f t="shared" si="2"/>
        <v>6724475</v>
      </c>
    </row>
    <row r="36" spans="1:4" ht="12.75">
      <c r="A36" s="162" t="s">
        <v>358</v>
      </c>
      <c r="B36" s="162"/>
      <c r="C36" s="162"/>
      <c r="D36" s="162"/>
    </row>
  </sheetData>
  <mergeCells count="4">
    <mergeCell ref="A1:J1"/>
    <mergeCell ref="H7:I7"/>
    <mergeCell ref="A3:J3"/>
    <mergeCell ref="A4:J4"/>
  </mergeCells>
  <printOptions/>
  <pageMargins left="0.75" right="0.75" top="0.71" bottom="0.64" header="0.5" footer="0.5"/>
  <pageSetup horizontalDpi="600" verticalDpi="600" orientation="landscape" paperSize="9" scale="88" r:id="rId2"/>
  <headerFooter alignWithMargins="0">
    <oddFooter>&amp;C&amp;P+4</oddFooter>
  </headerFooter>
  <drawing r:id="rId1"/>
</worksheet>
</file>

<file path=xl/worksheets/sheet5.xml><?xml version="1.0" encoding="utf-8"?>
<worksheet xmlns="http://schemas.openxmlformats.org/spreadsheetml/2006/main" xmlns:r="http://schemas.openxmlformats.org/officeDocument/2006/relationships">
  <dimension ref="A1:O482"/>
  <sheetViews>
    <sheetView zoomScaleSheetLayoutView="100" workbookViewId="0" topLeftCell="A153">
      <selection activeCell="B173" sqref="B173"/>
    </sheetView>
  </sheetViews>
  <sheetFormatPr defaultColWidth="9.140625" defaultRowHeight="12.75"/>
  <cols>
    <col min="1" max="1" width="4.421875" style="31" customWidth="1"/>
    <col min="2" max="2" width="40.57421875" style="1" customWidth="1"/>
    <col min="3" max="3" width="12.57421875" style="1" customWidth="1"/>
    <col min="4" max="4" width="0.71875" style="1" customWidth="1"/>
    <col min="5" max="5" width="12.7109375" style="1" customWidth="1"/>
    <col min="6" max="6" width="0.71875" style="1" customWidth="1"/>
    <col min="7" max="7" width="12.00390625" style="1" customWidth="1"/>
    <col min="8" max="8" width="0.71875" style="1" customWidth="1"/>
    <col min="9" max="9" width="12.57421875" style="1" customWidth="1"/>
    <col min="10" max="10" width="0.71875" style="1" customWidth="1"/>
    <col min="11" max="11" width="12.57421875" style="1" customWidth="1"/>
    <col min="12" max="12" width="0.71875" style="1" customWidth="1"/>
    <col min="13" max="13" width="12.57421875" style="1" customWidth="1"/>
    <col min="14" max="15" width="13.421875" style="1" customWidth="1"/>
    <col min="16" max="16" width="12.140625" style="1" customWidth="1"/>
    <col min="17" max="17" width="8.7109375" style="1" customWidth="1"/>
    <col min="18" max="18" width="13.28125" style="1" customWidth="1"/>
    <col min="19" max="19" width="13.8515625" style="1" customWidth="1"/>
    <col min="20" max="20" width="12.7109375" style="1" customWidth="1"/>
    <col min="21" max="16384" width="8.00390625" style="1" customWidth="1"/>
  </cols>
  <sheetData>
    <row r="1" ht="15">
      <c r="A1" s="30" t="s">
        <v>47</v>
      </c>
    </row>
    <row r="3" spans="1:2" ht="12.75">
      <c r="A3" s="31" t="s">
        <v>361</v>
      </c>
      <c r="B3" s="31" t="s">
        <v>204</v>
      </c>
    </row>
    <row r="14" spans="1:2" ht="12.75">
      <c r="A14" s="31" t="s">
        <v>362</v>
      </c>
      <c r="B14" s="31" t="s">
        <v>359</v>
      </c>
    </row>
    <row r="15" ht="12.75">
      <c r="B15" s="49"/>
    </row>
    <row r="16" ht="12.75">
      <c r="B16" s="49"/>
    </row>
    <row r="18" ht="12.75">
      <c r="B18" s="31"/>
    </row>
    <row r="19" ht="12.75">
      <c r="B19" s="31"/>
    </row>
    <row r="20" spans="1:2" ht="12.75">
      <c r="A20" s="31" t="s">
        <v>363</v>
      </c>
      <c r="B20" s="31" t="s">
        <v>145</v>
      </c>
    </row>
    <row r="21" spans="2:5" ht="12.75">
      <c r="B21" s="49"/>
      <c r="E21" s="28"/>
    </row>
    <row r="22" ht="12.75">
      <c r="B22" s="49"/>
    </row>
    <row r="25" spans="1:2" ht="12.75">
      <c r="A25" s="31" t="s">
        <v>364</v>
      </c>
      <c r="B25" s="31" t="s">
        <v>144</v>
      </c>
    </row>
    <row r="26" ht="12.75">
      <c r="B26" s="49"/>
    </row>
    <row r="27" ht="12.75">
      <c r="B27" s="49"/>
    </row>
    <row r="28" ht="12.75">
      <c r="B28" s="49"/>
    </row>
    <row r="29" ht="12.75">
      <c r="B29" s="49"/>
    </row>
    <row r="30" spans="1:2" ht="12.75">
      <c r="A30" s="31" t="s">
        <v>365</v>
      </c>
      <c r="B30" s="31" t="s">
        <v>360</v>
      </c>
    </row>
    <row r="31" ht="12.75">
      <c r="B31" s="49"/>
    </row>
    <row r="32" ht="12.75">
      <c r="B32" s="49"/>
    </row>
    <row r="33" ht="12.75">
      <c r="B33" s="49"/>
    </row>
    <row r="34" ht="12.75">
      <c r="B34" s="49"/>
    </row>
    <row r="35" ht="12.75">
      <c r="B35" s="49"/>
    </row>
    <row r="36" spans="1:2" ht="12.75">
      <c r="A36" s="31" t="s">
        <v>366</v>
      </c>
      <c r="B36" s="31" t="s">
        <v>99</v>
      </c>
    </row>
    <row r="41" ht="12.75">
      <c r="B41" s="49"/>
    </row>
    <row r="42" ht="12.75">
      <c r="B42" s="49"/>
    </row>
    <row r="43" ht="12.75">
      <c r="B43" s="49"/>
    </row>
    <row r="44" ht="12.75">
      <c r="B44" s="49"/>
    </row>
    <row r="45" ht="12.75">
      <c r="B45" s="49"/>
    </row>
    <row r="46" ht="12.75">
      <c r="B46" s="49"/>
    </row>
    <row r="47" ht="12.75">
      <c r="B47" s="49"/>
    </row>
    <row r="48" ht="12.75">
      <c r="B48" s="49"/>
    </row>
    <row r="49" ht="12.75">
      <c r="B49" s="49"/>
    </row>
    <row r="50" ht="12.75">
      <c r="B50" s="49"/>
    </row>
    <row r="51" ht="12.75">
      <c r="B51" s="49"/>
    </row>
    <row r="52" ht="12.75">
      <c r="B52" s="49"/>
    </row>
    <row r="53" ht="12.75">
      <c r="B53" s="49"/>
    </row>
    <row r="54" spans="1:2" ht="12.75">
      <c r="A54" s="31" t="s">
        <v>367</v>
      </c>
      <c r="B54" s="31" t="s">
        <v>390</v>
      </c>
    </row>
    <row r="58" ht="12.75">
      <c r="B58" s="49"/>
    </row>
    <row r="59" ht="12.75">
      <c r="B59" s="49"/>
    </row>
    <row r="60" ht="12.75">
      <c r="B60" s="49"/>
    </row>
    <row r="61" spans="1:2" ht="12.75">
      <c r="A61" s="31" t="s">
        <v>368</v>
      </c>
      <c r="B61" s="31" t="s">
        <v>172</v>
      </c>
    </row>
    <row r="62" ht="12.75">
      <c r="A62" s="1"/>
    </row>
    <row r="63" ht="12.75">
      <c r="A63" s="1"/>
    </row>
    <row r="64" ht="12.75">
      <c r="A64"/>
    </row>
    <row r="65" ht="12.75">
      <c r="A65"/>
    </row>
    <row r="66" spans="1:2" ht="12.75">
      <c r="A66" s="31" t="s">
        <v>372</v>
      </c>
      <c r="B66" s="31" t="s">
        <v>173</v>
      </c>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row>
    <row r="86" ht="12.75">
      <c r="A86"/>
    </row>
    <row r="87" spans="1:5" ht="12.75">
      <c r="A87" s="31" t="s">
        <v>373</v>
      </c>
      <c r="B87" s="31" t="s">
        <v>91</v>
      </c>
      <c r="E87" s="15"/>
    </row>
    <row r="88" ht="12.75">
      <c r="E88" s="15"/>
    </row>
    <row r="89" ht="12.75">
      <c r="E89" s="15"/>
    </row>
    <row r="90" ht="12.75">
      <c r="E90" s="15"/>
    </row>
    <row r="91" ht="12.75">
      <c r="E91" s="15"/>
    </row>
    <row r="92" ht="12.75">
      <c r="E92" s="15"/>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spans="1:2" ht="12.75">
      <c r="A104" s="31" t="s">
        <v>374</v>
      </c>
      <c r="B104" s="31" t="s">
        <v>21</v>
      </c>
    </row>
    <row r="105" spans="1:2" ht="12.75">
      <c r="A105" s="49"/>
      <c r="B105" s="31"/>
    </row>
    <row r="106" spans="1:2" ht="12.75">
      <c r="A106" s="49"/>
      <c r="B106" s="31"/>
    </row>
    <row r="107" spans="1:2" ht="12.75">
      <c r="A107" s="49"/>
      <c r="B107" s="31"/>
    </row>
    <row r="108" spans="1:2" ht="12.75">
      <c r="A108" s="49"/>
      <c r="B108" s="31"/>
    </row>
    <row r="111" spans="2:9" ht="12.75">
      <c r="B111" s="54" t="s">
        <v>116</v>
      </c>
      <c r="C111" s="28"/>
      <c r="D111" s="28"/>
      <c r="E111" s="28"/>
      <c r="F111" s="28"/>
      <c r="G111" s="28"/>
      <c r="H111" s="28"/>
      <c r="I111" s="28"/>
    </row>
    <row r="112" spans="3:9" ht="12.75">
      <c r="C112" s="204" t="s">
        <v>290</v>
      </c>
      <c r="D112" s="203"/>
      <c r="E112" s="203"/>
      <c r="F112" s="14"/>
      <c r="G112" s="107" t="s">
        <v>143</v>
      </c>
      <c r="H112" s="108"/>
      <c r="I112" s="108"/>
    </row>
    <row r="113" spans="2:9" ht="12.75">
      <c r="B113" s="55"/>
      <c r="C113" s="56" t="s">
        <v>48</v>
      </c>
      <c r="D113" s="56"/>
      <c r="E113" s="14" t="s">
        <v>49</v>
      </c>
      <c r="F113" s="14"/>
      <c r="G113" s="56" t="s">
        <v>48</v>
      </c>
      <c r="H113" s="56"/>
      <c r="I113" s="14" t="s">
        <v>49</v>
      </c>
    </row>
    <row r="114" spans="2:9" ht="12.75">
      <c r="B114" s="55"/>
      <c r="C114" s="14" t="s">
        <v>117</v>
      </c>
      <c r="D114" s="14"/>
      <c r="E114" s="56" t="s">
        <v>118</v>
      </c>
      <c r="F114" s="56"/>
      <c r="G114" s="14" t="s">
        <v>117</v>
      </c>
      <c r="H114" s="14"/>
      <c r="I114" s="56" t="s">
        <v>118</v>
      </c>
    </row>
    <row r="115" spans="2:9" ht="12.75">
      <c r="B115" s="55"/>
      <c r="C115" s="56"/>
      <c r="D115" s="56"/>
      <c r="E115" s="56" t="s">
        <v>119</v>
      </c>
      <c r="F115" s="56"/>
      <c r="G115" s="56"/>
      <c r="H115" s="56"/>
      <c r="I115" s="56" t="s">
        <v>119</v>
      </c>
    </row>
    <row r="116" spans="2:9" ht="12.75">
      <c r="B116" s="55"/>
      <c r="C116" s="57" t="s">
        <v>1</v>
      </c>
      <c r="D116" s="57"/>
      <c r="E116" s="57" t="s">
        <v>1</v>
      </c>
      <c r="F116" s="57"/>
      <c r="G116" s="57" t="s">
        <v>1</v>
      </c>
      <c r="H116" s="57"/>
      <c r="I116" s="57" t="s">
        <v>1</v>
      </c>
    </row>
    <row r="117" spans="2:9" ht="15">
      <c r="B117" s="55"/>
      <c r="C117" s="58"/>
      <c r="D117" s="58"/>
      <c r="E117" s="58"/>
      <c r="F117" s="58"/>
      <c r="G117" s="59"/>
      <c r="H117" s="59"/>
      <c r="I117" s="59"/>
    </row>
    <row r="118" spans="2:9" ht="12.75">
      <c r="B118" s="55" t="s">
        <v>51</v>
      </c>
      <c r="C118" s="65">
        <v>2456941</v>
      </c>
      <c r="D118" s="65"/>
      <c r="E118" s="65">
        <f>C118*1</f>
        <v>2456941</v>
      </c>
      <c r="F118" s="60"/>
      <c r="G118" s="60">
        <v>2874321</v>
      </c>
      <c r="H118" s="60"/>
      <c r="I118" s="60">
        <v>2874321</v>
      </c>
    </row>
    <row r="119" spans="2:9" ht="12.75">
      <c r="B119" s="55" t="s">
        <v>52</v>
      </c>
      <c r="C119" s="65">
        <v>3118247</v>
      </c>
      <c r="D119" s="65"/>
      <c r="E119" s="66">
        <f>C119*0.5</f>
        <v>1559123.5</v>
      </c>
      <c r="F119" s="61"/>
      <c r="G119" s="61">
        <v>2970856</v>
      </c>
      <c r="H119" s="61"/>
      <c r="I119" s="61">
        <v>1485428</v>
      </c>
    </row>
    <row r="120" spans="2:9" ht="12.75">
      <c r="B120" s="55" t="s">
        <v>53</v>
      </c>
      <c r="C120" s="66"/>
      <c r="D120" s="66"/>
      <c r="E120" s="66"/>
      <c r="F120" s="61"/>
      <c r="G120" s="61"/>
      <c r="H120" s="61"/>
      <c r="I120" s="61"/>
    </row>
    <row r="121" spans="2:9" ht="12.75">
      <c r="B121" s="1" t="s">
        <v>54</v>
      </c>
      <c r="C121" s="65">
        <v>2619245</v>
      </c>
      <c r="D121" s="65"/>
      <c r="E121" s="66">
        <f>C121*0.2</f>
        <v>523849</v>
      </c>
      <c r="F121" s="61"/>
      <c r="G121" s="61">
        <v>2476814</v>
      </c>
      <c r="H121" s="61"/>
      <c r="I121" s="61">
        <v>495363</v>
      </c>
    </row>
    <row r="122" spans="2:9" ht="12.75">
      <c r="B122" s="55" t="s">
        <v>55</v>
      </c>
      <c r="C122" s="65">
        <v>415658</v>
      </c>
      <c r="D122" s="65"/>
      <c r="E122" s="66">
        <f>C122*0.5</f>
        <v>207829</v>
      </c>
      <c r="F122" s="61"/>
      <c r="G122" s="61">
        <v>663960</v>
      </c>
      <c r="H122" s="61"/>
      <c r="I122" s="61">
        <v>331980</v>
      </c>
    </row>
    <row r="123" spans="2:9" ht="12.75">
      <c r="B123" s="55" t="s">
        <v>84</v>
      </c>
      <c r="C123" s="65"/>
      <c r="D123" s="65"/>
      <c r="E123" s="65"/>
      <c r="F123" s="60"/>
      <c r="G123" s="60"/>
      <c r="H123" s="60"/>
      <c r="I123" s="60"/>
    </row>
    <row r="124" spans="2:9" ht="12.75">
      <c r="B124" s="55" t="s">
        <v>134</v>
      </c>
      <c r="C124" s="65">
        <v>17301273</v>
      </c>
      <c r="D124" s="65"/>
      <c r="E124" s="65">
        <v>0</v>
      </c>
      <c r="F124" s="60"/>
      <c r="G124" s="60">
        <v>17639813</v>
      </c>
      <c r="H124" s="60"/>
      <c r="I124" s="60">
        <v>0</v>
      </c>
    </row>
    <row r="125" spans="2:9" ht="12.75">
      <c r="B125" s="55" t="s">
        <v>135</v>
      </c>
      <c r="C125" s="65">
        <v>2738272</v>
      </c>
      <c r="D125" s="65"/>
      <c r="E125" s="66">
        <v>1369137</v>
      </c>
      <c r="F125" s="61"/>
      <c r="G125" s="61">
        <v>3374213</v>
      </c>
      <c r="H125" s="61"/>
      <c r="I125" s="61">
        <v>1682668</v>
      </c>
    </row>
    <row r="126" spans="2:9" ht="12.75">
      <c r="B126" s="133" t="s">
        <v>196</v>
      </c>
      <c r="C126" s="65">
        <v>0</v>
      </c>
      <c r="D126" s="65"/>
      <c r="E126" s="66">
        <v>0</v>
      </c>
      <c r="F126" s="61"/>
      <c r="G126" s="61">
        <v>30400</v>
      </c>
      <c r="H126" s="61"/>
      <c r="I126" s="61">
        <v>30400</v>
      </c>
    </row>
    <row r="127" spans="2:9" ht="12.75">
      <c r="B127" s="55" t="s">
        <v>294</v>
      </c>
      <c r="C127" s="65">
        <v>8599640</v>
      </c>
      <c r="D127" s="65"/>
      <c r="E127" s="65">
        <v>40924</v>
      </c>
      <c r="F127" s="60"/>
      <c r="G127" s="60">
        <v>4810655</v>
      </c>
      <c r="H127" s="60"/>
      <c r="I127" s="60">
        <v>185731</v>
      </c>
    </row>
    <row r="128" spans="2:9" ht="12.75">
      <c r="B128" s="55" t="s">
        <v>295</v>
      </c>
      <c r="C128" s="65">
        <v>57410729</v>
      </c>
      <c r="D128" s="65"/>
      <c r="E128" s="65">
        <v>318109</v>
      </c>
      <c r="F128" s="60"/>
      <c r="G128" s="60">
        <v>32124742</v>
      </c>
      <c r="H128" s="60"/>
      <c r="I128" s="60">
        <v>185390</v>
      </c>
    </row>
    <row r="129" spans="2:9" ht="12.75">
      <c r="B129" s="133" t="s">
        <v>195</v>
      </c>
      <c r="C129" s="65">
        <v>0</v>
      </c>
      <c r="D129" s="65"/>
      <c r="E129" s="66">
        <v>0</v>
      </c>
      <c r="F129" s="61"/>
      <c r="G129" s="61">
        <v>5431</v>
      </c>
      <c r="H129" s="61"/>
      <c r="I129" s="61">
        <v>0</v>
      </c>
    </row>
    <row r="130" spans="2:9" ht="12.75">
      <c r="B130" s="55" t="s">
        <v>56</v>
      </c>
      <c r="C130" s="65">
        <v>8371121</v>
      </c>
      <c r="D130" s="65"/>
      <c r="E130" s="66">
        <v>20409</v>
      </c>
      <c r="F130" s="61"/>
      <c r="G130" s="61">
        <v>2904383</v>
      </c>
      <c r="H130" s="61"/>
      <c r="I130" s="61">
        <v>0</v>
      </c>
    </row>
    <row r="131" spans="2:9" ht="12.75">
      <c r="B131" s="55"/>
      <c r="C131" s="67"/>
      <c r="D131" s="67"/>
      <c r="E131" s="67"/>
      <c r="F131" s="58"/>
      <c r="G131" s="62"/>
      <c r="H131" s="62"/>
      <c r="I131" s="62"/>
    </row>
    <row r="132" spans="2:9" ht="13.5" thickBot="1">
      <c r="B132" s="55"/>
      <c r="C132" s="68">
        <f>SUM(C118:C130)</f>
        <v>103031126</v>
      </c>
      <c r="D132" s="68"/>
      <c r="E132" s="68">
        <f>SUM(E118:E130)</f>
        <v>6496321.5</v>
      </c>
      <c r="F132" s="69"/>
      <c r="G132" s="69">
        <f>SUM(G118:G130)</f>
        <v>69875588</v>
      </c>
      <c r="H132" s="69"/>
      <c r="I132" s="69">
        <f>SUM(I118:I130)</f>
        <v>7271281</v>
      </c>
    </row>
    <row r="133" spans="2:9" ht="12.75">
      <c r="B133" s="55"/>
      <c r="C133" s="67"/>
      <c r="D133" s="67"/>
      <c r="E133" s="67"/>
      <c r="F133" s="58"/>
      <c r="G133" s="58"/>
      <c r="H133" s="58"/>
      <c r="I133" s="58"/>
    </row>
    <row r="134" spans="2:9" ht="12.75">
      <c r="B134" s="55"/>
      <c r="C134" s="67"/>
      <c r="D134" s="67"/>
      <c r="E134" s="67"/>
      <c r="F134" s="58"/>
      <c r="G134" s="58"/>
      <c r="H134" s="58"/>
      <c r="I134" s="58"/>
    </row>
    <row r="135" spans="2:9" ht="12.75">
      <c r="B135" s="55" t="s">
        <v>57</v>
      </c>
      <c r="C135" s="67"/>
      <c r="D135" s="67"/>
      <c r="E135" s="67"/>
      <c r="F135" s="58"/>
      <c r="G135" s="58"/>
      <c r="H135" s="58"/>
      <c r="I135" s="58"/>
    </row>
    <row r="136" spans="2:9" ht="12.75">
      <c r="B136" s="55"/>
      <c r="C136" s="58"/>
      <c r="D136" s="58"/>
      <c r="E136" s="58"/>
      <c r="F136" s="58"/>
      <c r="G136" s="58"/>
      <c r="H136" s="58"/>
      <c r="I136" s="58"/>
    </row>
    <row r="137" spans="2:9" ht="12.75">
      <c r="B137" s="55"/>
      <c r="C137" s="58"/>
      <c r="D137" s="58"/>
      <c r="E137" s="58"/>
      <c r="F137" s="58"/>
      <c r="G137" s="58"/>
      <c r="H137" s="58"/>
      <c r="I137" s="58"/>
    </row>
    <row r="138" ht="12.75">
      <c r="A138" s="1"/>
    </row>
    <row r="139" spans="1:2" ht="12.75">
      <c r="A139" s="31" t="s">
        <v>375</v>
      </c>
      <c r="B139" s="31" t="s">
        <v>95</v>
      </c>
    </row>
    <row r="140" ht="12.75">
      <c r="B140" s="31"/>
    </row>
    <row r="141" ht="12.75">
      <c r="B141" s="31"/>
    </row>
    <row r="142" ht="12.75">
      <c r="B142" s="31"/>
    </row>
    <row r="143" ht="12.75">
      <c r="B143" s="31"/>
    </row>
    <row r="144" ht="12.75">
      <c r="B144" s="31"/>
    </row>
    <row r="145" ht="12.75">
      <c r="B145" s="31"/>
    </row>
    <row r="146" ht="12.75">
      <c r="A146" s="1"/>
    </row>
    <row r="147" ht="12.75">
      <c r="A147" s="1"/>
    </row>
    <row r="148" ht="12.75">
      <c r="A148" s="1"/>
    </row>
    <row r="149" ht="12.75">
      <c r="A149" s="1"/>
    </row>
    <row r="150" ht="12.75">
      <c r="A150" s="1"/>
    </row>
    <row r="151" ht="12.75">
      <c r="A151" s="1"/>
    </row>
    <row r="152" spans="1:15" ht="12.75">
      <c r="A152" s="31" t="s">
        <v>377</v>
      </c>
      <c r="B152" s="31" t="s">
        <v>94</v>
      </c>
      <c r="O152" s="15"/>
    </row>
    <row r="153" spans="1:15" ht="12.75">
      <c r="A153" s="49"/>
      <c r="B153" s="31"/>
      <c r="O153" s="15"/>
    </row>
    <row r="154" spans="1:15" ht="12.75">
      <c r="A154" s="49"/>
      <c r="B154" s="31"/>
      <c r="O154" s="15"/>
    </row>
    <row r="155" spans="1:15" ht="12.75">
      <c r="A155" s="49"/>
      <c r="B155" s="31"/>
      <c r="O155" s="15"/>
    </row>
    <row r="156" spans="1:15" ht="12.75">
      <c r="A156" s="49"/>
      <c r="B156" s="31"/>
      <c r="O156" s="15"/>
    </row>
    <row r="157" spans="1:15" ht="12.75">
      <c r="A157" s="49"/>
      <c r="B157" s="31"/>
      <c r="O157" s="15"/>
    </row>
    <row r="158" spans="1:15" ht="12.75">
      <c r="A158" s="49"/>
      <c r="B158" s="31"/>
      <c r="O158" s="15"/>
    </row>
    <row r="159" spans="1:15" ht="12.75">
      <c r="A159" s="49"/>
      <c r="B159" s="31"/>
      <c r="O159" s="15"/>
    </row>
    <row r="160" spans="1:2" ht="12.75">
      <c r="A160" s="31" t="s">
        <v>378</v>
      </c>
      <c r="B160" s="31" t="s">
        <v>96</v>
      </c>
    </row>
    <row r="161" spans="1:2" ht="12.75">
      <c r="A161" s="49"/>
      <c r="B161" s="31"/>
    </row>
    <row r="167" ht="12.75">
      <c r="A167" s="1"/>
    </row>
    <row r="168" ht="12.75">
      <c r="A168" s="1"/>
    </row>
    <row r="169" ht="12.75">
      <c r="A169" s="1"/>
    </row>
    <row r="170" ht="12.75">
      <c r="A170" s="1"/>
    </row>
    <row r="171" spans="1:2" ht="12.75">
      <c r="A171" s="31" t="s">
        <v>379</v>
      </c>
      <c r="B171" s="31" t="s">
        <v>386</v>
      </c>
    </row>
    <row r="172" spans="1:9" ht="12.75">
      <c r="A172" s="1"/>
      <c r="G172" s="203" t="s">
        <v>25</v>
      </c>
      <c r="H172" s="203"/>
      <c r="I172" s="203"/>
    </row>
    <row r="173" spans="1:9" ht="12.75">
      <c r="A173" s="1"/>
      <c r="G173" s="14" t="s">
        <v>279</v>
      </c>
      <c r="H173" s="14"/>
      <c r="I173" s="14" t="s">
        <v>280</v>
      </c>
    </row>
    <row r="174" spans="1:9" ht="12.75">
      <c r="A174" s="1"/>
      <c r="G174" s="109" t="s">
        <v>290</v>
      </c>
      <c r="H174" s="14"/>
      <c r="I174" s="109" t="s">
        <v>290</v>
      </c>
    </row>
    <row r="175" spans="1:9" ht="12.75">
      <c r="A175" s="1"/>
      <c r="G175" s="46" t="s">
        <v>1</v>
      </c>
      <c r="H175" s="46"/>
      <c r="I175" s="46" t="s">
        <v>1</v>
      </c>
    </row>
    <row r="176" ht="12.75">
      <c r="A176" s="1"/>
    </row>
    <row r="177" spans="1:2" ht="12.75">
      <c r="A177" s="1"/>
      <c r="B177" s="1" t="s">
        <v>281</v>
      </c>
    </row>
    <row r="178" ht="12.75">
      <c r="A178" s="1"/>
    </row>
    <row r="179" spans="1:9" ht="12.75">
      <c r="A179" s="1"/>
      <c r="B179" s="1" t="s">
        <v>282</v>
      </c>
      <c r="G179" s="15">
        <v>68949</v>
      </c>
      <c r="I179" s="15">
        <v>165358</v>
      </c>
    </row>
    <row r="180" spans="1:9" ht="12.75">
      <c r="A180" s="1"/>
      <c r="B180" s="1" t="s">
        <v>283</v>
      </c>
      <c r="G180" s="15">
        <v>-6320</v>
      </c>
      <c r="I180" s="15">
        <v>-12453</v>
      </c>
    </row>
    <row r="181" spans="1:7" ht="12.75">
      <c r="A181" s="1"/>
      <c r="G181" s="15"/>
    </row>
    <row r="182" spans="1:9" ht="13.5" thickBot="1">
      <c r="A182" s="1"/>
      <c r="G182" s="48">
        <f>SUM(G179:G181)</f>
        <v>62629</v>
      </c>
      <c r="I182" s="150">
        <f>SUM(I179:I181)</f>
        <v>152905</v>
      </c>
    </row>
    <row r="183" spans="1:9" ht="12.75">
      <c r="A183" s="1"/>
      <c r="G183" s="15"/>
      <c r="I183" s="91"/>
    </row>
    <row r="184" spans="1:9" ht="12.75">
      <c r="A184" s="1"/>
      <c r="B184" s="31" t="s">
        <v>284</v>
      </c>
      <c r="G184" s="15"/>
      <c r="I184" s="91"/>
    </row>
    <row r="185" spans="1:9" ht="12.75">
      <c r="A185" s="1"/>
      <c r="G185" s="15"/>
      <c r="I185" s="91"/>
    </row>
    <row r="186" spans="1:9" ht="12.75">
      <c r="A186" s="1"/>
      <c r="B186" s="1" t="s">
        <v>159</v>
      </c>
      <c r="G186" s="15">
        <v>208891</v>
      </c>
      <c r="I186" s="91">
        <v>555456</v>
      </c>
    </row>
    <row r="187" spans="1:9" ht="12.75">
      <c r="A187" s="1"/>
      <c r="G187" s="15"/>
      <c r="I187" s="91"/>
    </row>
    <row r="188" spans="1:9" ht="12.75">
      <c r="A188" s="1"/>
      <c r="B188" s="1" t="s">
        <v>285</v>
      </c>
      <c r="G188" s="91">
        <f>G186*28%</f>
        <v>58489.48</v>
      </c>
      <c r="I188" s="91">
        <f>I186*28%</f>
        <v>155527.68000000002</v>
      </c>
    </row>
    <row r="189" spans="1:9" ht="12.75">
      <c r="A189" s="1"/>
      <c r="B189" s="195" t="s">
        <v>352</v>
      </c>
      <c r="G189" s="15">
        <v>4140</v>
      </c>
      <c r="I189" s="91">
        <v>-2623</v>
      </c>
    </row>
    <row r="190" spans="1:9" ht="12.75">
      <c r="A190" s="1"/>
      <c r="B190" s="195" t="s">
        <v>353</v>
      </c>
      <c r="G190" s="15"/>
      <c r="I190" s="91"/>
    </row>
    <row r="191" spans="1:9" ht="13.5" thickBot="1">
      <c r="A191" s="1"/>
      <c r="G191" s="48">
        <f>SUM(G188:G190)</f>
        <v>62629.48</v>
      </c>
      <c r="I191" s="150">
        <f>SUM(I188:I190)</f>
        <v>152904.68000000002</v>
      </c>
    </row>
    <row r="192" spans="1:9" ht="12.75">
      <c r="A192" s="1"/>
      <c r="G192" s="16"/>
      <c r="I192" s="191"/>
    </row>
    <row r="193" ht="12.75">
      <c r="A193" s="1"/>
    </row>
    <row r="194" spans="1:2" ht="12.75">
      <c r="A194" s="31" t="s">
        <v>380</v>
      </c>
      <c r="B194" s="31" t="s">
        <v>183</v>
      </c>
    </row>
    <row r="195" ht="12.75">
      <c r="A195" s="1"/>
    </row>
    <row r="196" spans="1:2" ht="12.75">
      <c r="A196" s="1"/>
      <c r="B196" s="49"/>
    </row>
    <row r="197" spans="1:2" ht="12.75">
      <c r="A197" s="1"/>
      <c r="B197" s="49"/>
    </row>
    <row r="198" spans="1:2" ht="12.75">
      <c r="A198" s="1"/>
      <c r="B198" s="49"/>
    </row>
    <row r="199" ht="12.75">
      <c r="A199" s="1"/>
    </row>
    <row r="200" spans="1:2" ht="12.75">
      <c r="A200" s="31" t="s">
        <v>381</v>
      </c>
      <c r="B200" s="31" t="s">
        <v>174</v>
      </c>
    </row>
    <row r="201" ht="12.75">
      <c r="A201" s="1"/>
    </row>
    <row r="202" spans="1:9" ht="12.75">
      <c r="A202" s="1"/>
      <c r="I202" s="109" t="s">
        <v>290</v>
      </c>
    </row>
    <row r="203" spans="1:9" ht="12.75">
      <c r="A203" s="1"/>
      <c r="I203" s="46" t="s">
        <v>1</v>
      </c>
    </row>
    <row r="204" ht="12.75">
      <c r="A204" s="1"/>
    </row>
    <row r="205" spans="1:9" ht="12.75">
      <c r="A205" s="1"/>
      <c r="B205" s="1" t="s">
        <v>175</v>
      </c>
      <c r="I205" s="15">
        <v>0</v>
      </c>
    </row>
    <row r="206" spans="1:9" ht="12.75">
      <c r="A206" s="1"/>
      <c r="B206" s="1" t="s">
        <v>176</v>
      </c>
      <c r="I206" s="15">
        <v>0</v>
      </c>
    </row>
    <row r="207" spans="1:9" ht="12.75">
      <c r="A207" s="1"/>
      <c r="B207" s="1" t="s">
        <v>177</v>
      </c>
      <c r="I207" s="15">
        <v>0</v>
      </c>
    </row>
    <row r="208" spans="1:9" ht="12.75">
      <c r="A208" s="1"/>
      <c r="I208" s="15"/>
    </row>
    <row r="209" spans="1:9" ht="12.75">
      <c r="A209" s="1"/>
      <c r="B209" s="1" t="s">
        <v>178</v>
      </c>
      <c r="I209" s="15">
        <v>207448</v>
      </c>
    </row>
    <row r="210" spans="1:9" ht="12.75">
      <c r="A210" s="1"/>
      <c r="B210" s="1" t="s">
        <v>179</v>
      </c>
      <c r="I210" s="15"/>
    </row>
    <row r="211" spans="1:9" ht="12.75">
      <c r="A211" s="1"/>
      <c r="B211" s="1" t="s">
        <v>180</v>
      </c>
      <c r="I211" s="15">
        <v>180897</v>
      </c>
    </row>
    <row r="212" spans="1:9" ht="12.75">
      <c r="A212" s="1"/>
      <c r="B212" s="1" t="s">
        <v>181</v>
      </c>
      <c r="I212" s="15">
        <v>188530</v>
      </c>
    </row>
    <row r="213" ht="12.75">
      <c r="A213" s="1"/>
    </row>
    <row r="214" spans="1:2" ht="12.75">
      <c r="A214" s="1"/>
      <c r="B214" s="1" t="s">
        <v>182</v>
      </c>
    </row>
    <row r="215" ht="12.75">
      <c r="A215" s="1"/>
    </row>
    <row r="216" spans="1:2" ht="12.75">
      <c r="A216" s="31" t="s">
        <v>382</v>
      </c>
      <c r="B216" s="31" t="s">
        <v>92</v>
      </c>
    </row>
    <row r="217" ht="12.75">
      <c r="E217" s="15"/>
    </row>
    <row r="218" ht="12.75">
      <c r="B218" s="1" t="s">
        <v>46</v>
      </c>
    </row>
    <row r="220" ht="12.75">
      <c r="B220" s="49"/>
    </row>
    <row r="221" ht="12.75">
      <c r="B221" s="49"/>
    </row>
    <row r="222" spans="1:2" ht="12.75">
      <c r="A222" s="31" t="s">
        <v>383</v>
      </c>
      <c r="B222" s="31" t="s">
        <v>93</v>
      </c>
    </row>
    <row r="224" spans="6:9" ht="12.75">
      <c r="F224" s="103"/>
      <c r="G224" s="203" t="s">
        <v>25</v>
      </c>
      <c r="H224" s="203"/>
      <c r="I224" s="203"/>
    </row>
    <row r="225" spans="6:9" ht="12.75">
      <c r="F225" s="14"/>
      <c r="G225" s="109" t="s">
        <v>290</v>
      </c>
      <c r="H225" s="14"/>
      <c r="I225" s="106" t="s">
        <v>143</v>
      </c>
    </row>
    <row r="226" spans="6:9" ht="12.75">
      <c r="F226" s="46"/>
      <c r="G226" s="46" t="s">
        <v>1</v>
      </c>
      <c r="H226" s="46"/>
      <c r="I226" s="46" t="s">
        <v>1</v>
      </c>
    </row>
    <row r="227" spans="6:9" ht="12.75">
      <c r="F227" s="71"/>
      <c r="G227" s="71"/>
      <c r="H227" s="71"/>
      <c r="I227" s="71"/>
    </row>
    <row r="228" spans="2:9" ht="12.75">
      <c r="B228" s="31" t="s">
        <v>10</v>
      </c>
      <c r="F228" s="28"/>
      <c r="G228" s="28"/>
      <c r="H228" s="28"/>
      <c r="I228" s="28"/>
    </row>
    <row r="229" spans="2:9" ht="12.75">
      <c r="B229" s="53" t="s">
        <v>184</v>
      </c>
      <c r="F229" s="28"/>
      <c r="G229" s="64">
        <v>9408028</v>
      </c>
      <c r="H229" s="28"/>
      <c r="I229" s="16">
        <v>10563227</v>
      </c>
    </row>
    <row r="230" spans="2:9" ht="12.75">
      <c r="B230" s="53" t="s">
        <v>185</v>
      </c>
      <c r="F230" s="28"/>
      <c r="G230" s="64">
        <v>3783398</v>
      </c>
      <c r="H230" s="28"/>
      <c r="I230" s="16">
        <v>3609448</v>
      </c>
    </row>
    <row r="231" spans="2:9" ht="12.75">
      <c r="B231" s="53" t="s">
        <v>186</v>
      </c>
      <c r="F231" s="28"/>
      <c r="G231" s="64">
        <v>38360020</v>
      </c>
      <c r="H231" s="28"/>
      <c r="I231" s="16">
        <v>30942049</v>
      </c>
    </row>
    <row r="232" spans="2:9" ht="12.75">
      <c r="B232" s="53" t="s">
        <v>187</v>
      </c>
      <c r="F232" s="28"/>
      <c r="G232" s="142">
        <v>1141000</v>
      </c>
      <c r="H232" s="28"/>
      <c r="I232" s="141">
        <v>981460</v>
      </c>
    </row>
    <row r="233" spans="2:9" ht="12.75">
      <c r="B233" s="53" t="s">
        <v>188</v>
      </c>
      <c r="F233" s="28"/>
      <c r="G233" s="142">
        <v>732320</v>
      </c>
      <c r="H233" s="28"/>
      <c r="I233" s="141">
        <v>782044</v>
      </c>
    </row>
    <row r="234" spans="2:9" ht="12.75">
      <c r="B234" s="53"/>
      <c r="F234" s="28"/>
      <c r="G234" s="142"/>
      <c r="H234" s="28"/>
      <c r="I234" s="141"/>
    </row>
    <row r="235" spans="6:9" ht="13.5" thickBot="1">
      <c r="F235" s="28"/>
      <c r="G235" s="143">
        <f>SUM(G229:G233)</f>
        <v>53424766</v>
      </c>
      <c r="H235" s="144"/>
      <c r="I235" s="145">
        <f>SUM(I229:I233)</f>
        <v>46878228</v>
      </c>
    </row>
    <row r="236" spans="2:9" ht="12.75">
      <c r="B236" s="1" t="s">
        <v>189</v>
      </c>
      <c r="F236" s="28"/>
      <c r="G236" s="142"/>
      <c r="H236" s="28"/>
      <c r="I236" s="28"/>
    </row>
    <row r="237" spans="2:9" ht="12.75">
      <c r="B237" s="1" t="s">
        <v>72</v>
      </c>
      <c r="F237" s="16"/>
      <c r="G237" s="64">
        <v>36674554</v>
      </c>
      <c r="H237" s="16"/>
      <c r="I237" s="16">
        <v>30879519</v>
      </c>
    </row>
    <row r="238" spans="2:9" ht="12.75">
      <c r="B238" s="1" t="s">
        <v>73</v>
      </c>
      <c r="F238" s="16"/>
      <c r="G238" s="64">
        <v>2826466</v>
      </c>
      <c r="H238" s="16"/>
      <c r="I238" s="16">
        <v>1043990</v>
      </c>
    </row>
    <row r="239" spans="6:9" ht="13.5" thickBot="1">
      <c r="F239" s="48"/>
      <c r="G239" s="70">
        <f>SUM(G237:G238)</f>
        <v>39501020</v>
      </c>
      <c r="H239" s="48"/>
      <c r="I239" s="48">
        <f>SUM(I237:I238)</f>
        <v>31923509</v>
      </c>
    </row>
    <row r="240" spans="3:9" ht="12.75">
      <c r="C240" s="64"/>
      <c r="D240" s="16"/>
      <c r="E240" s="16"/>
      <c r="F240" s="16"/>
      <c r="G240" s="64"/>
      <c r="H240" s="16"/>
      <c r="I240" s="16"/>
    </row>
    <row r="241" spans="2:9" ht="12.75">
      <c r="B241" s="31" t="s">
        <v>114</v>
      </c>
      <c r="C241" s="64"/>
      <c r="D241" s="16"/>
      <c r="E241" s="16"/>
      <c r="F241" s="16"/>
      <c r="G241" s="64"/>
      <c r="H241" s="16"/>
      <c r="I241" s="16"/>
    </row>
    <row r="242" spans="2:9" ht="12.75">
      <c r="B242" s="31" t="s">
        <v>115</v>
      </c>
      <c r="C242" s="64"/>
      <c r="D242" s="16"/>
      <c r="E242" s="16"/>
      <c r="F242" s="16"/>
      <c r="G242" s="64"/>
      <c r="H242" s="16"/>
      <c r="I242" s="16"/>
    </row>
    <row r="243" spans="2:9" ht="12.75">
      <c r="B243" s="1" t="s">
        <v>72</v>
      </c>
      <c r="C243" s="64"/>
      <c r="D243" s="16"/>
      <c r="E243" s="16"/>
      <c r="F243" s="16"/>
      <c r="G243" s="64">
        <v>9854922</v>
      </c>
      <c r="H243" s="16"/>
      <c r="I243" s="16">
        <v>8030815</v>
      </c>
    </row>
    <row r="244" spans="2:9" ht="12.75">
      <c r="B244" s="1" t="s">
        <v>73</v>
      </c>
      <c r="C244" s="64"/>
      <c r="D244" s="16"/>
      <c r="E244" s="16"/>
      <c r="F244" s="16"/>
      <c r="G244" s="64">
        <v>200000</v>
      </c>
      <c r="H244" s="16"/>
      <c r="I244" s="16">
        <v>200000</v>
      </c>
    </row>
    <row r="245" spans="3:9" ht="12.75">
      <c r="C245" s="64"/>
      <c r="D245" s="16"/>
      <c r="E245" s="16"/>
      <c r="F245" s="16"/>
      <c r="G245" s="64"/>
      <c r="H245" s="16"/>
      <c r="I245" s="16"/>
    </row>
    <row r="246" spans="3:9" ht="13.5" thickBot="1">
      <c r="C246" s="64"/>
      <c r="D246" s="16"/>
      <c r="E246" s="16"/>
      <c r="F246" s="48"/>
      <c r="G246" s="70">
        <f>SUM(G243:G244)</f>
        <v>10054922</v>
      </c>
      <c r="H246" s="48"/>
      <c r="I246" s="48">
        <f>SUM(I243:I244)</f>
        <v>8230815</v>
      </c>
    </row>
    <row r="247" spans="3:9" ht="12.75">
      <c r="C247" s="64"/>
      <c r="D247" s="16"/>
      <c r="E247" s="16"/>
      <c r="F247" s="16"/>
      <c r="G247" s="64"/>
      <c r="H247" s="16"/>
      <c r="I247" s="16"/>
    </row>
    <row r="248" spans="2:9" ht="12.75">
      <c r="B248" s="31" t="s">
        <v>190</v>
      </c>
      <c r="C248" s="64"/>
      <c r="D248" s="16"/>
      <c r="E248" s="16"/>
      <c r="F248" s="16"/>
      <c r="G248" s="64"/>
      <c r="H248" s="16"/>
      <c r="I248" s="16"/>
    </row>
    <row r="249" spans="2:9" ht="12.75">
      <c r="B249" s="31" t="s">
        <v>194</v>
      </c>
      <c r="C249" s="64"/>
      <c r="D249" s="16"/>
      <c r="E249" s="16"/>
      <c r="F249" s="16"/>
      <c r="G249" s="64"/>
      <c r="H249" s="16"/>
      <c r="I249" s="16"/>
    </row>
    <row r="250" spans="2:9" ht="12.75">
      <c r="B250" s="1" t="s">
        <v>72</v>
      </c>
      <c r="C250" s="64"/>
      <c r="D250" s="16"/>
      <c r="E250" s="16"/>
      <c r="F250" s="16"/>
      <c r="G250" s="64">
        <v>0</v>
      </c>
      <c r="H250" s="16"/>
      <c r="I250" s="16">
        <v>608032</v>
      </c>
    </row>
    <row r="251" spans="2:9" ht="12.75">
      <c r="B251" s="1" t="s">
        <v>73</v>
      </c>
      <c r="C251" s="64"/>
      <c r="D251" s="16"/>
      <c r="E251" s="16"/>
      <c r="F251" s="16"/>
      <c r="G251" s="64">
        <v>502964</v>
      </c>
      <c r="H251" s="16"/>
      <c r="I251" s="16">
        <v>502964</v>
      </c>
    </row>
    <row r="252" spans="3:9" ht="12.75">
      <c r="C252" s="64"/>
      <c r="D252" s="16"/>
      <c r="E252" s="16"/>
      <c r="F252" s="16"/>
      <c r="G252" s="64"/>
      <c r="H252" s="16"/>
      <c r="I252" s="16"/>
    </row>
    <row r="253" spans="3:9" ht="13.5" thickBot="1">
      <c r="C253" s="64"/>
      <c r="D253" s="16"/>
      <c r="E253" s="16"/>
      <c r="F253" s="48"/>
      <c r="G253" s="70">
        <f>SUM(G250:G251)</f>
        <v>502964</v>
      </c>
      <c r="H253" s="48"/>
      <c r="I253" s="48">
        <f>SUM(I250:I251)</f>
        <v>1110996</v>
      </c>
    </row>
    <row r="254" spans="2:9" ht="12.75">
      <c r="B254" s="1" t="s">
        <v>191</v>
      </c>
      <c r="C254" s="64"/>
      <c r="D254" s="16"/>
      <c r="E254" s="16"/>
      <c r="F254" s="16"/>
      <c r="G254" s="64"/>
      <c r="H254" s="16"/>
      <c r="I254" s="16"/>
    </row>
    <row r="255" spans="3:9" ht="12.75">
      <c r="C255" s="64"/>
      <c r="D255" s="16"/>
      <c r="E255" s="16"/>
      <c r="F255" s="16"/>
      <c r="G255" s="64"/>
      <c r="H255" s="16"/>
      <c r="I255" s="16"/>
    </row>
    <row r="256" spans="2:9" ht="12.75">
      <c r="B256" s="31" t="s">
        <v>192</v>
      </c>
      <c r="C256" s="64"/>
      <c r="D256" s="16"/>
      <c r="E256" s="16"/>
      <c r="F256" s="16"/>
      <c r="G256" s="64"/>
      <c r="H256" s="16"/>
      <c r="I256" s="16"/>
    </row>
    <row r="257" spans="2:9" ht="12.75">
      <c r="B257" s="31" t="s">
        <v>194</v>
      </c>
      <c r="C257" s="64"/>
      <c r="D257" s="16"/>
      <c r="E257" s="16"/>
      <c r="F257" s="16"/>
      <c r="G257" s="64"/>
      <c r="H257" s="16"/>
      <c r="I257" s="16"/>
    </row>
    <row r="258" spans="2:9" ht="12.75">
      <c r="B258" s="1" t="s">
        <v>72</v>
      </c>
      <c r="C258" s="64"/>
      <c r="D258" s="16"/>
      <c r="E258" s="16"/>
      <c r="F258" s="16"/>
      <c r="G258" s="64">
        <v>40</v>
      </c>
      <c r="H258" s="16"/>
      <c r="I258" s="16">
        <v>40</v>
      </c>
    </row>
    <row r="259" spans="2:9" ht="12.75">
      <c r="B259" s="1" t="s">
        <v>73</v>
      </c>
      <c r="C259" s="64"/>
      <c r="D259" s="16"/>
      <c r="E259" s="16"/>
      <c r="F259" s="16"/>
      <c r="G259" s="64">
        <v>139704</v>
      </c>
      <c r="H259" s="16"/>
      <c r="I259" s="16">
        <v>133191</v>
      </c>
    </row>
    <row r="260" spans="3:9" ht="12.75">
      <c r="C260" s="64"/>
      <c r="D260" s="16"/>
      <c r="E260" s="16"/>
      <c r="F260" s="16"/>
      <c r="G260" s="64"/>
      <c r="H260" s="16"/>
      <c r="I260" s="16"/>
    </row>
    <row r="261" spans="3:9" ht="13.5" thickBot="1">
      <c r="C261" s="64"/>
      <c r="D261" s="16"/>
      <c r="E261" s="16"/>
      <c r="F261" s="48"/>
      <c r="G261" s="70">
        <f>SUM(G258:G259)</f>
        <v>139744</v>
      </c>
      <c r="H261" s="48"/>
      <c r="I261" s="48">
        <f>SUM(I258:I259)</f>
        <v>133231</v>
      </c>
    </row>
    <row r="262" spans="3:9" ht="12.75">
      <c r="C262" s="28"/>
      <c r="D262" s="28"/>
      <c r="E262" s="28"/>
      <c r="F262" s="28"/>
      <c r="G262" s="28"/>
      <c r="H262" s="28"/>
      <c r="I262" s="28"/>
    </row>
    <row r="263" spans="2:9" ht="12.75">
      <c r="B263" s="31" t="s">
        <v>193</v>
      </c>
      <c r="C263" s="64"/>
      <c r="D263" s="16"/>
      <c r="E263" s="16"/>
      <c r="F263" s="16"/>
      <c r="G263" s="64"/>
      <c r="H263" s="16"/>
      <c r="I263" s="16"/>
    </row>
    <row r="264" spans="2:9" ht="12.75">
      <c r="B264" s="31" t="s">
        <v>194</v>
      </c>
      <c r="C264" s="64"/>
      <c r="D264" s="16"/>
      <c r="E264" s="16"/>
      <c r="F264" s="16"/>
      <c r="G264" s="64"/>
      <c r="H264" s="16"/>
      <c r="I264" s="16"/>
    </row>
    <row r="265" spans="2:9" ht="12.75">
      <c r="B265" s="1" t="s">
        <v>72</v>
      </c>
      <c r="C265" s="64"/>
      <c r="D265" s="16"/>
      <c r="E265" s="16"/>
      <c r="F265" s="16"/>
      <c r="G265" s="64">
        <v>80000</v>
      </c>
      <c r="H265" s="16"/>
      <c r="I265" s="16">
        <v>183000</v>
      </c>
    </row>
    <row r="266" spans="2:9" ht="12.75">
      <c r="B266" s="1" t="s">
        <v>73</v>
      </c>
      <c r="C266" s="64"/>
      <c r="D266" s="16"/>
      <c r="E266" s="16"/>
      <c r="F266" s="16"/>
      <c r="G266" s="64">
        <v>920000</v>
      </c>
      <c r="H266" s="16"/>
      <c r="I266" s="16">
        <v>770000</v>
      </c>
    </row>
    <row r="267" spans="3:9" ht="12.75">
      <c r="C267" s="64"/>
      <c r="D267" s="16"/>
      <c r="E267" s="16"/>
      <c r="F267" s="16"/>
      <c r="G267" s="64"/>
      <c r="H267" s="16"/>
      <c r="I267" s="16"/>
    </row>
    <row r="268" spans="3:9" ht="13.5" thickBot="1">
      <c r="C268" s="64"/>
      <c r="D268" s="16"/>
      <c r="E268" s="16"/>
      <c r="F268" s="48"/>
      <c r="G268" s="70">
        <f>SUM(G265:G266)</f>
        <v>1000000</v>
      </c>
      <c r="H268" s="48"/>
      <c r="I268" s="48">
        <f>SUM(I265:I266)</f>
        <v>953000</v>
      </c>
    </row>
    <row r="269" spans="3:9" ht="12.75">
      <c r="C269" s="28"/>
      <c r="D269" s="28"/>
      <c r="E269" s="28"/>
      <c r="F269" s="28"/>
      <c r="G269" s="28"/>
      <c r="H269" s="28"/>
      <c r="I269" s="28"/>
    </row>
    <row r="270" spans="1:2" ht="12.75">
      <c r="A270" s="31" t="s">
        <v>384</v>
      </c>
      <c r="B270" s="31" t="s">
        <v>201</v>
      </c>
    </row>
    <row r="271" ht="12.75">
      <c r="A271" s="1"/>
    </row>
    <row r="272" ht="12.75">
      <c r="A272" s="1"/>
    </row>
    <row r="273" ht="12.75">
      <c r="A273" s="1"/>
    </row>
    <row r="274" ht="12.75">
      <c r="A274" s="1"/>
    </row>
    <row r="275" ht="12.75">
      <c r="A275" s="1"/>
    </row>
    <row r="276" spans="1:2" ht="12.75">
      <c r="A276" s="31" t="s">
        <v>385</v>
      </c>
      <c r="B276" s="149" t="s">
        <v>202</v>
      </c>
    </row>
    <row r="277" ht="12.75">
      <c r="A277" s="1"/>
    </row>
    <row r="278" ht="12.75">
      <c r="A278" s="1"/>
    </row>
    <row r="279" ht="12.75">
      <c r="A279" s="1"/>
    </row>
    <row r="280" ht="12.75">
      <c r="A280" s="1"/>
    </row>
    <row r="281" ht="12.75">
      <c r="A281" s="1"/>
    </row>
    <row r="282" spans="1:2" ht="12.75">
      <c r="A282" s="1"/>
      <c r="B282" s="31" t="s">
        <v>205</v>
      </c>
    </row>
    <row r="283" spans="1:9" ht="12.75">
      <c r="A283" s="1"/>
      <c r="G283" s="203" t="s">
        <v>25</v>
      </c>
      <c r="H283" s="203"/>
      <c r="I283" s="203"/>
    </row>
    <row r="284" spans="1:9" ht="12.75">
      <c r="A284" s="1"/>
      <c r="G284" s="109" t="s">
        <v>290</v>
      </c>
      <c r="H284" s="14"/>
      <c r="I284" s="106" t="s">
        <v>292</v>
      </c>
    </row>
    <row r="285" spans="1:9" ht="12.75">
      <c r="A285" s="1"/>
      <c r="G285" s="109"/>
      <c r="H285" s="14"/>
      <c r="I285" s="106"/>
    </row>
    <row r="286" spans="1:9" ht="12.75">
      <c r="A286" s="1"/>
      <c r="B286" s="1" t="s">
        <v>399</v>
      </c>
      <c r="G286" s="15">
        <v>386340</v>
      </c>
      <c r="H286" s="15"/>
      <c r="I286" s="15">
        <v>397372</v>
      </c>
    </row>
    <row r="287" spans="1:9" ht="12.75">
      <c r="A287" s="1"/>
      <c r="B287" s="1" t="s">
        <v>400</v>
      </c>
      <c r="G287" s="15">
        <v>2549611</v>
      </c>
      <c r="H287" s="15"/>
      <c r="I287" s="15">
        <v>2462163</v>
      </c>
    </row>
    <row r="288" spans="1:9" ht="12.75">
      <c r="A288" s="1"/>
      <c r="B288" s="1" t="s">
        <v>203</v>
      </c>
      <c r="G288" s="151">
        <f>G286/G287*100</f>
        <v>15.152899795302108</v>
      </c>
      <c r="I288" s="151">
        <f>I286/I287*100</f>
        <v>16.13914269688887</v>
      </c>
    </row>
    <row r="289" spans="1:5" ht="12.75">
      <c r="A289" s="1"/>
      <c r="E289" s="151"/>
    </row>
    <row r="290" spans="1:5" ht="12.75">
      <c r="A290" s="1"/>
      <c r="E290" s="151"/>
    </row>
    <row r="291" spans="1:5" ht="12.75">
      <c r="A291" s="1"/>
      <c r="E291" s="151"/>
    </row>
    <row r="292" spans="1:5" ht="12.75">
      <c r="A292" s="1"/>
      <c r="E292" s="151"/>
    </row>
    <row r="293" spans="1:5" ht="12.75">
      <c r="A293" s="1"/>
      <c r="E293" s="151"/>
    </row>
    <row r="294" spans="1:5" ht="12.75">
      <c r="A294" s="1"/>
      <c r="E294" s="151"/>
    </row>
    <row r="295" spans="1:5" ht="12.75">
      <c r="A295" s="1"/>
      <c r="E295" s="151"/>
    </row>
    <row r="296" spans="1:5" ht="12.75">
      <c r="A296" s="1"/>
      <c r="E296" s="151"/>
    </row>
    <row r="297" spans="1:5" ht="12.75">
      <c r="A297" s="1"/>
      <c r="E297" s="151"/>
    </row>
    <row r="298" spans="1:5" ht="12.75">
      <c r="A298" s="1"/>
      <c r="E298" s="151"/>
    </row>
    <row r="299" spans="1:5" ht="12.75">
      <c r="A299" s="1"/>
      <c r="E299" s="151"/>
    </row>
    <row r="300" spans="1:2" ht="12.75">
      <c r="A300" s="1"/>
      <c r="B300" s="31" t="s">
        <v>206</v>
      </c>
    </row>
    <row r="301" spans="1:2" ht="12.75">
      <c r="A301" s="1"/>
      <c r="B301" s="31"/>
    </row>
    <row r="302" spans="1:9" ht="12.75">
      <c r="A302" s="1"/>
      <c r="B302" s="1" t="s">
        <v>399</v>
      </c>
      <c r="G302" s="15">
        <v>386340</v>
      </c>
      <c r="I302" s="15">
        <v>397372</v>
      </c>
    </row>
    <row r="303" spans="1:2" ht="12.75">
      <c r="A303" s="1"/>
      <c r="B303" s="1" t="s">
        <v>392</v>
      </c>
    </row>
    <row r="304" spans="1:9" ht="12.75">
      <c r="A304" s="1"/>
      <c r="B304" s="1" t="s">
        <v>393</v>
      </c>
      <c r="G304" s="1">
        <v>25</v>
      </c>
      <c r="I304" s="1">
        <v>25</v>
      </c>
    </row>
    <row r="305" ht="12.75">
      <c r="A305" s="1"/>
    </row>
    <row r="306" spans="1:9" ht="13.5" thickBot="1">
      <c r="A306" s="1"/>
      <c r="B306" s="1" t="s">
        <v>394</v>
      </c>
      <c r="G306" s="150">
        <f>SUM(G302:G304)</f>
        <v>386365</v>
      </c>
      <c r="I306" s="150">
        <f>SUM(I302:I304)</f>
        <v>397397</v>
      </c>
    </row>
    <row r="307" ht="12.75">
      <c r="A307" s="1"/>
    </row>
    <row r="308" spans="1:9" ht="12.75">
      <c r="A308" s="1"/>
      <c r="B308" s="1" t="s">
        <v>400</v>
      </c>
      <c r="G308" s="15">
        <f>G287</f>
        <v>2549611</v>
      </c>
      <c r="I308" s="15">
        <f>I287</f>
        <v>2462163</v>
      </c>
    </row>
    <row r="309" spans="1:2" ht="12.75">
      <c r="A309" s="1"/>
      <c r="B309" s="1" t="s">
        <v>207</v>
      </c>
    </row>
    <row r="310" spans="1:9" ht="12.75">
      <c r="A310" s="1"/>
      <c r="B310" s="53" t="s">
        <v>395</v>
      </c>
      <c r="G310" s="15">
        <v>643</v>
      </c>
      <c r="I310" s="15">
        <v>643</v>
      </c>
    </row>
    <row r="311" ht="12.75">
      <c r="A311" s="1"/>
    </row>
    <row r="312" spans="1:9" ht="13.5" thickBot="1">
      <c r="A312" s="1"/>
      <c r="B312" s="1" t="s">
        <v>396</v>
      </c>
      <c r="G312" s="150">
        <f>SUM(G308:G310)</f>
        <v>2550254</v>
      </c>
      <c r="I312" s="150">
        <f>SUM(I308:I310)</f>
        <v>2462806</v>
      </c>
    </row>
    <row r="313" ht="12.75">
      <c r="A313" s="1"/>
    </row>
    <row r="314" spans="1:9" ht="12.75">
      <c r="A314" s="1"/>
      <c r="B314" s="1" t="s">
        <v>397</v>
      </c>
      <c r="G314" s="151">
        <f>G306/G312*100</f>
        <v>15.15005956269454</v>
      </c>
      <c r="I314" s="151">
        <f>I306/I312*100</f>
        <v>16.13594412227354</v>
      </c>
    </row>
    <row r="315" spans="1:10" ht="12.75">
      <c r="A315" s="1"/>
      <c r="J315" s="134"/>
    </row>
    <row r="316" spans="1:2" ht="12.75">
      <c r="A316" s="31" t="s">
        <v>387</v>
      </c>
      <c r="B316" s="31" t="s">
        <v>388</v>
      </c>
    </row>
    <row r="317" ht="12.75">
      <c r="A317" s="1"/>
    </row>
    <row r="318" ht="12.75">
      <c r="A318" s="1"/>
    </row>
    <row r="319" ht="12.75">
      <c r="A319" s="1"/>
    </row>
    <row r="320" spans="1:2" ht="12.75">
      <c r="A320" s="1"/>
      <c r="B320" s="49"/>
    </row>
    <row r="321" ht="12.75"/>
    <row r="322" spans="1:2" ht="12.75">
      <c r="A322" s="31" t="s">
        <v>389</v>
      </c>
      <c r="B322" s="31" t="s">
        <v>391</v>
      </c>
    </row>
    <row r="323" spans="1:5" ht="12.75">
      <c r="A323" s="49"/>
      <c r="B323" s="31"/>
      <c r="C323"/>
      <c r="D323"/>
      <c r="E323"/>
    </row>
    <row r="324" spans="3:9" ht="12.75">
      <c r="C324"/>
      <c r="D324"/>
      <c r="E324"/>
      <c r="G324" s="28"/>
      <c r="H324" s="28"/>
      <c r="I324" s="28"/>
    </row>
    <row r="329" ht="12.75">
      <c r="J329" s="91"/>
    </row>
    <row r="330" ht="12.75">
      <c r="J330" s="91"/>
    </row>
    <row r="334" ht="12.75">
      <c r="J334" s="91"/>
    </row>
    <row r="335" ht="12.75">
      <c r="J335" s="91"/>
    </row>
    <row r="336" ht="12.75">
      <c r="J336" s="92"/>
    </row>
    <row r="456" spans="3:9" ht="12.75">
      <c r="C456" s="28"/>
      <c r="D456" s="28"/>
      <c r="E456" s="28"/>
      <c r="F456" s="28"/>
      <c r="G456" s="28"/>
      <c r="H456" s="28"/>
      <c r="I456" s="28"/>
    </row>
    <row r="458" ht="12.75">
      <c r="A458" s="1"/>
    </row>
    <row r="459" ht="12.75">
      <c r="A459" s="1"/>
    </row>
    <row r="460" ht="12.75">
      <c r="A460" s="1"/>
    </row>
    <row r="461" ht="12.75">
      <c r="A461" s="1"/>
    </row>
    <row r="462" ht="12.75">
      <c r="A462" s="1"/>
    </row>
    <row r="463" ht="12.75">
      <c r="A463" s="1"/>
    </row>
    <row r="464" ht="12.75">
      <c r="A464" s="1"/>
    </row>
    <row r="465" ht="12.75">
      <c r="A465" s="1"/>
    </row>
    <row r="466" ht="12.75">
      <c r="A466" s="1"/>
    </row>
    <row r="467" ht="12.75">
      <c r="A467" s="1"/>
    </row>
    <row r="468" ht="12.75">
      <c r="A468" s="1"/>
    </row>
    <row r="469" ht="12.75">
      <c r="A469" s="1"/>
    </row>
    <row r="470" ht="12.75">
      <c r="A470" s="1"/>
    </row>
    <row r="471" ht="12.75">
      <c r="A471" s="1"/>
    </row>
    <row r="472" ht="12.75">
      <c r="A472" s="1"/>
    </row>
    <row r="473" ht="12.75">
      <c r="A473" s="1"/>
    </row>
    <row r="474" ht="12.75">
      <c r="A474" s="1"/>
    </row>
    <row r="480" ht="12.75">
      <c r="A480" s="1"/>
    </row>
    <row r="481" ht="12.75">
      <c r="A481" s="1"/>
    </row>
    <row r="482" ht="12.75">
      <c r="A482" s="1"/>
    </row>
  </sheetData>
  <mergeCells count="4">
    <mergeCell ref="G224:I224"/>
    <mergeCell ref="C112:E112"/>
    <mergeCell ref="G283:I283"/>
    <mergeCell ref="G172:I172"/>
  </mergeCells>
  <printOptions horizontalCentered="1"/>
  <pageMargins left="0.49" right="0.42" top="0.74" bottom="0.75" header="0.46" footer="0.5"/>
  <pageSetup firstPageNumber="10" useFirstPageNumber="1" horizontalDpi="600" verticalDpi="600" orientation="portrait" paperSize="9" scale="77" r:id="rId2"/>
  <headerFooter alignWithMargins="0">
    <oddFooter>&amp;C&amp;P+4</oddFooter>
  </headerFooter>
  <rowBreaks count="6" manualBreakCount="6">
    <brk id="64" max="255" man="1"/>
    <brk id="192" max="8" man="1"/>
    <brk id="220" max="8" man="1"/>
    <brk id="268" max="255" man="1"/>
    <brk id="354" max="8" man="1"/>
    <brk id="400" max="8" man="1"/>
  </rowBreaks>
  <drawing r:id="rId1"/>
</worksheet>
</file>

<file path=xl/worksheets/sheet6.xml><?xml version="1.0" encoding="utf-8"?>
<worksheet xmlns="http://schemas.openxmlformats.org/spreadsheetml/2006/main" xmlns:r="http://schemas.openxmlformats.org/officeDocument/2006/relationships">
  <dimension ref="A1:M244"/>
  <sheetViews>
    <sheetView zoomScaleSheetLayoutView="75" workbookViewId="0" topLeftCell="A192">
      <selection activeCell="B196" sqref="B196"/>
    </sheetView>
  </sheetViews>
  <sheetFormatPr defaultColWidth="9.140625" defaultRowHeight="12.75"/>
  <cols>
    <col min="1" max="1" width="3.8515625" style="0" customWidth="1"/>
    <col min="2" max="2" width="37.421875" style="0" bestFit="1" customWidth="1"/>
    <col min="3" max="3" width="11.421875" style="0" bestFit="1" customWidth="1"/>
    <col min="4" max="4" width="11.421875" style="0" customWidth="1"/>
    <col min="5" max="5" width="12.421875" style="0" bestFit="1" customWidth="1"/>
    <col min="6" max="7" width="13.8515625" style="0" bestFit="1" customWidth="1"/>
    <col min="8" max="8" width="15.140625" style="0" customWidth="1"/>
    <col min="9" max="9" width="13.28125" style="0" bestFit="1" customWidth="1"/>
    <col min="10" max="10" width="15.421875" style="0" bestFit="1" customWidth="1"/>
  </cols>
  <sheetData>
    <row r="1" spans="1:10" ht="12.75">
      <c r="A1" s="31" t="s">
        <v>369</v>
      </c>
      <c r="B1" s="31" t="s">
        <v>146</v>
      </c>
      <c r="E1" s="1"/>
      <c r="F1" s="1"/>
      <c r="G1" s="1"/>
      <c r="H1" s="1"/>
      <c r="I1" s="1"/>
      <c r="J1" s="1"/>
    </row>
    <row r="2" spans="1:10" ht="12.75">
      <c r="A2" s="31"/>
      <c r="B2" s="49"/>
      <c r="D2" s="1"/>
      <c r="E2" s="1"/>
      <c r="F2" s="1"/>
      <c r="H2" s="1"/>
      <c r="I2" s="1"/>
      <c r="J2" s="1"/>
    </row>
    <row r="3" spans="1:10" ht="12.75">
      <c r="A3" s="31"/>
      <c r="B3" s="49"/>
      <c r="D3" s="1"/>
      <c r="E3" s="1"/>
      <c r="F3" s="1"/>
      <c r="G3" s="139"/>
      <c r="H3" s="1"/>
      <c r="I3" s="1"/>
      <c r="J3" s="1"/>
    </row>
    <row r="4" spans="1:10" ht="12.75">
      <c r="A4" s="31"/>
      <c r="B4" s="49"/>
      <c r="D4" s="1"/>
      <c r="E4" s="1"/>
      <c r="F4" s="1"/>
      <c r="G4" s="139"/>
      <c r="H4" s="1"/>
      <c r="I4" s="1"/>
      <c r="J4" s="1"/>
    </row>
    <row r="5" spans="1:10" ht="12.75">
      <c r="A5" s="31"/>
      <c r="B5" s="49"/>
      <c r="D5" s="1"/>
      <c r="E5" s="1"/>
      <c r="F5" s="1"/>
      <c r="G5" s="139"/>
      <c r="H5" s="1"/>
      <c r="I5" s="1"/>
      <c r="J5" s="1"/>
    </row>
    <row r="6" spans="1:10" ht="12.75">
      <c r="A6" s="31"/>
      <c r="B6" s="49"/>
      <c r="D6" s="1"/>
      <c r="E6" s="1"/>
      <c r="F6" s="1"/>
      <c r="G6" s="139"/>
      <c r="H6" s="1"/>
      <c r="I6" s="1"/>
      <c r="J6" s="1"/>
    </row>
    <row r="7" spans="1:10" ht="12.75">
      <c r="A7" s="31"/>
      <c r="B7" s="49"/>
      <c r="D7" s="1"/>
      <c r="E7" s="1"/>
      <c r="F7" s="1"/>
      <c r="G7" s="139"/>
      <c r="H7" s="1"/>
      <c r="I7" s="1"/>
      <c r="J7" s="1"/>
    </row>
    <row r="8" spans="1:10" ht="12.75">
      <c r="A8" s="31"/>
      <c r="B8" s="49"/>
      <c r="D8" s="1"/>
      <c r="E8" s="1"/>
      <c r="F8" s="1"/>
      <c r="G8" s="139"/>
      <c r="H8" s="1"/>
      <c r="I8" s="1"/>
      <c r="J8" s="1"/>
    </row>
    <row r="9" spans="1:10" ht="12.75">
      <c r="A9" s="31"/>
      <c r="B9" s="49"/>
      <c r="D9" s="1"/>
      <c r="E9" s="1"/>
      <c r="F9" s="1"/>
      <c r="G9" s="139"/>
      <c r="H9" s="1"/>
      <c r="I9" s="1"/>
      <c r="J9" s="1"/>
    </row>
    <row r="10" spans="1:10" ht="12.75">
      <c r="A10" s="31"/>
      <c r="B10" s="49"/>
      <c r="D10" s="1"/>
      <c r="E10" s="1"/>
      <c r="F10" s="1"/>
      <c r="G10" s="139"/>
      <c r="H10" s="1"/>
      <c r="I10" s="1"/>
      <c r="J10" s="1"/>
    </row>
    <row r="11" spans="1:10" ht="12.75">
      <c r="A11" s="31"/>
      <c r="B11" s="49"/>
      <c r="D11" s="1"/>
      <c r="E11" s="1"/>
      <c r="F11" s="1"/>
      <c r="G11" s="139"/>
      <c r="H11" s="1"/>
      <c r="I11" s="1"/>
      <c r="J11" s="1"/>
    </row>
    <row r="12" spans="1:10" ht="12.75">
      <c r="A12" s="31"/>
      <c r="B12" s="49"/>
      <c r="D12" s="1"/>
      <c r="E12" s="1"/>
      <c r="F12" s="1"/>
      <c r="G12" s="139"/>
      <c r="H12" s="1"/>
      <c r="I12" s="1"/>
      <c r="J12" s="1"/>
    </row>
    <row r="13" spans="1:10" ht="12.75">
      <c r="A13" s="31"/>
      <c r="B13" s="49"/>
      <c r="D13" s="1"/>
      <c r="E13" s="1"/>
      <c r="F13" s="1"/>
      <c r="G13" s="139"/>
      <c r="H13" s="1"/>
      <c r="I13" s="1"/>
      <c r="J13" s="1"/>
    </row>
    <row r="14" spans="1:10" ht="12.75">
      <c r="A14" s="31"/>
      <c r="B14" s="49"/>
      <c r="D14" s="1"/>
      <c r="E14" s="1"/>
      <c r="F14" s="1"/>
      <c r="G14" s="139"/>
      <c r="H14" s="1"/>
      <c r="I14" s="1"/>
      <c r="J14" s="1"/>
    </row>
    <row r="15" spans="1:10" ht="12.75">
      <c r="A15" s="31"/>
      <c r="B15" s="49"/>
      <c r="D15" s="1"/>
      <c r="E15" s="1"/>
      <c r="F15" s="1"/>
      <c r="G15" s="139"/>
      <c r="H15" s="1"/>
      <c r="I15" s="1"/>
      <c r="J15" s="1"/>
    </row>
    <row r="16" spans="1:10" ht="12.75">
      <c r="A16" s="31"/>
      <c r="B16" s="49"/>
      <c r="D16" s="1"/>
      <c r="E16" s="1"/>
      <c r="F16" s="1"/>
      <c r="G16" s="139"/>
      <c r="H16" s="1"/>
      <c r="I16" s="1"/>
      <c r="J16" s="1"/>
    </row>
    <row r="17" spans="1:10" ht="12.75">
      <c r="A17" s="31"/>
      <c r="B17" s="49"/>
      <c r="D17" s="1"/>
      <c r="E17" s="1"/>
      <c r="F17" s="1"/>
      <c r="G17" s="139"/>
      <c r="H17" s="1"/>
      <c r="I17" s="1"/>
      <c r="J17" s="1"/>
    </row>
    <row r="18" spans="1:10" ht="12.75">
      <c r="A18" s="31"/>
      <c r="B18" s="49"/>
      <c r="D18" s="1"/>
      <c r="E18" s="1"/>
      <c r="F18" s="1"/>
      <c r="G18" s="139"/>
      <c r="H18" s="1"/>
      <c r="I18" s="1"/>
      <c r="J18" s="1"/>
    </row>
    <row r="19" spans="1:10" ht="12.75">
      <c r="A19" s="31"/>
      <c r="B19" s="49"/>
      <c r="D19" s="1"/>
      <c r="E19" s="1"/>
      <c r="F19" s="1"/>
      <c r="G19" s="139"/>
      <c r="H19" s="1"/>
      <c r="I19" s="1"/>
      <c r="J19" s="1"/>
    </row>
    <row r="20" spans="1:10" ht="12.75">
      <c r="A20" s="31"/>
      <c r="B20" s="49"/>
      <c r="D20" s="1"/>
      <c r="E20" s="1"/>
      <c r="F20" s="1"/>
      <c r="G20" s="139"/>
      <c r="H20" s="1"/>
      <c r="I20" s="1"/>
      <c r="J20" s="1"/>
    </row>
    <row r="21" spans="1:10" ht="12.75">
      <c r="A21" s="31"/>
      <c r="B21" s="49"/>
      <c r="D21" s="1"/>
      <c r="E21" s="1"/>
      <c r="F21" s="1"/>
      <c r="G21" s="139"/>
      <c r="H21" s="1"/>
      <c r="I21" s="1"/>
      <c r="J21" s="1"/>
    </row>
    <row r="22" spans="1:10" ht="12.75">
      <c r="A22" s="31"/>
      <c r="B22" s="49"/>
      <c r="D22" s="1"/>
      <c r="E22" s="1"/>
      <c r="F22" s="1"/>
      <c r="H22" s="1"/>
      <c r="I22" s="1"/>
      <c r="J22" s="1"/>
    </row>
    <row r="23" spans="1:10" ht="12.75">
      <c r="A23" s="31"/>
      <c r="B23" s="49"/>
      <c r="D23" s="1"/>
      <c r="E23" s="1"/>
      <c r="F23" s="1"/>
      <c r="H23" s="1"/>
      <c r="I23" s="1"/>
      <c r="J23" s="1"/>
    </row>
    <row r="24" spans="1:10" ht="12.75">
      <c r="A24" s="31"/>
      <c r="B24" s="49"/>
      <c r="D24" s="1"/>
      <c r="E24" s="1"/>
      <c r="F24" s="1"/>
      <c r="G24" s="139" t="s">
        <v>274</v>
      </c>
      <c r="H24" s="1"/>
      <c r="I24" s="1"/>
      <c r="J24" s="1"/>
    </row>
    <row r="25" spans="1:10" ht="12.75">
      <c r="A25" s="31"/>
      <c r="B25" s="49"/>
      <c r="C25" s="139" t="s">
        <v>150</v>
      </c>
      <c r="D25" s="139" t="s">
        <v>149</v>
      </c>
      <c r="E25" s="139" t="s">
        <v>147</v>
      </c>
      <c r="F25" s="139"/>
      <c r="G25" s="139" t="s">
        <v>275</v>
      </c>
      <c r="H25" s="139" t="s">
        <v>296</v>
      </c>
      <c r="I25" s="139" t="s">
        <v>277</v>
      </c>
      <c r="J25" s="139"/>
    </row>
    <row r="26" spans="1:10" ht="12.75">
      <c r="A26" s="31"/>
      <c r="B26" s="49"/>
      <c r="C26" s="139" t="s">
        <v>148</v>
      </c>
      <c r="D26" s="139" t="s">
        <v>148</v>
      </c>
      <c r="E26" s="139" t="s">
        <v>148</v>
      </c>
      <c r="F26" s="139" t="s">
        <v>251</v>
      </c>
      <c r="G26" s="139" t="s">
        <v>276</v>
      </c>
      <c r="H26" s="139" t="s">
        <v>297</v>
      </c>
      <c r="I26" s="139" t="s">
        <v>278</v>
      </c>
      <c r="J26" s="139" t="s">
        <v>26</v>
      </c>
    </row>
    <row r="27" spans="1:10" ht="12.75">
      <c r="A27" s="31"/>
      <c r="B27" s="49"/>
      <c r="C27" s="139" t="s">
        <v>1</v>
      </c>
      <c r="D27" s="139" t="s">
        <v>1</v>
      </c>
      <c r="E27" s="139" t="s">
        <v>1</v>
      </c>
      <c r="F27" s="139" t="s">
        <v>1</v>
      </c>
      <c r="G27" s="139" t="s">
        <v>1</v>
      </c>
      <c r="H27" s="139" t="s">
        <v>1</v>
      </c>
      <c r="I27" s="139" t="s">
        <v>1</v>
      </c>
      <c r="J27" s="139" t="s">
        <v>1</v>
      </c>
    </row>
    <row r="28" spans="1:10" ht="12.75">
      <c r="A28" s="31"/>
      <c r="B28" s="49"/>
      <c r="C28" s="1"/>
      <c r="D28" s="1"/>
      <c r="E28" s="1"/>
      <c r="F28" s="1"/>
      <c r="G28" s="1"/>
      <c r="H28" s="1"/>
      <c r="I28" s="1"/>
      <c r="J28" s="1"/>
    </row>
    <row r="29" spans="1:10" ht="12.75">
      <c r="A29" s="31"/>
      <c r="B29" s="1" t="s">
        <v>342</v>
      </c>
      <c r="C29" s="15"/>
      <c r="D29" s="15"/>
      <c r="E29" s="15"/>
      <c r="F29" s="15"/>
      <c r="G29" s="15"/>
      <c r="H29" s="15"/>
      <c r="I29" s="15"/>
      <c r="J29" s="15"/>
    </row>
    <row r="30" spans="1:10" ht="12.75">
      <c r="A30" s="31"/>
      <c r="B30" s="53" t="s">
        <v>151</v>
      </c>
      <c r="C30" s="15">
        <v>549709</v>
      </c>
      <c r="D30" s="15">
        <v>247902</v>
      </c>
      <c r="E30" s="15">
        <v>157952</v>
      </c>
      <c r="F30" s="15">
        <v>202808</v>
      </c>
      <c r="G30" s="15">
        <v>91855</v>
      </c>
      <c r="H30" s="15">
        <v>185804</v>
      </c>
      <c r="I30" s="15">
        <v>62445</v>
      </c>
      <c r="J30" s="63">
        <f>SUM(C30:I30)</f>
        <v>1498475</v>
      </c>
    </row>
    <row r="31" spans="1:10" ht="12.75">
      <c r="A31" s="31"/>
      <c r="B31" s="1" t="s">
        <v>152</v>
      </c>
      <c r="C31" s="95">
        <v>-80894</v>
      </c>
      <c r="D31" s="95">
        <v>395</v>
      </c>
      <c r="E31" s="95">
        <v>34720</v>
      </c>
      <c r="F31" s="95">
        <v>-73566</v>
      </c>
      <c r="G31" s="95">
        <v>11107</v>
      </c>
      <c r="H31" s="95">
        <v>0</v>
      </c>
      <c r="I31" s="95">
        <v>108238</v>
      </c>
      <c r="J31" s="172">
        <f>SUM(C31:I31)</f>
        <v>0</v>
      </c>
    </row>
    <row r="32" spans="1:10" ht="12.75">
      <c r="A32" s="31"/>
      <c r="B32" s="1"/>
      <c r="C32" s="15"/>
      <c r="D32" s="15"/>
      <c r="E32" s="15"/>
      <c r="F32" s="15"/>
      <c r="G32" s="15"/>
      <c r="H32" s="15"/>
      <c r="I32" s="15"/>
      <c r="J32" s="63"/>
    </row>
    <row r="33" spans="1:10" ht="12.75">
      <c r="A33" s="31"/>
      <c r="B33" s="1" t="s">
        <v>343</v>
      </c>
      <c r="C33" s="15">
        <f>SUM(C30:C31)</f>
        <v>468815</v>
      </c>
      <c r="D33" s="15">
        <f aca="true" t="shared" si="0" ref="D33:J33">SUM(D30:D31)</f>
        <v>248297</v>
      </c>
      <c r="E33" s="15">
        <f>SUM(E30:E31)</f>
        <v>192672</v>
      </c>
      <c r="F33" s="15">
        <f t="shared" si="0"/>
        <v>129242</v>
      </c>
      <c r="G33" s="15">
        <f t="shared" si="0"/>
        <v>102962</v>
      </c>
      <c r="H33" s="15">
        <f t="shared" si="0"/>
        <v>185804</v>
      </c>
      <c r="I33" s="15">
        <f t="shared" si="0"/>
        <v>170683</v>
      </c>
      <c r="J33" s="63">
        <f t="shared" si="0"/>
        <v>1498475</v>
      </c>
    </row>
    <row r="34" spans="1:10" ht="12.75">
      <c r="A34" s="31"/>
      <c r="B34" s="1" t="s">
        <v>153</v>
      </c>
      <c r="C34" s="16"/>
      <c r="D34" s="16"/>
      <c r="E34" s="16"/>
      <c r="F34" s="16"/>
      <c r="G34" s="16"/>
      <c r="H34" s="16"/>
      <c r="I34" s="16"/>
      <c r="J34" s="64"/>
    </row>
    <row r="35" spans="1:10" ht="12.75">
      <c r="A35" s="31"/>
      <c r="B35" s="1" t="s">
        <v>89</v>
      </c>
      <c r="C35" s="16">
        <v>54414</v>
      </c>
      <c r="D35" s="16">
        <v>107142</v>
      </c>
      <c r="E35" s="16">
        <v>61539</v>
      </c>
      <c r="F35" s="16">
        <v>13774</v>
      </c>
      <c r="G35" s="16">
        <v>29954</v>
      </c>
      <c r="H35" s="16">
        <v>2916</v>
      </c>
      <c r="I35" s="16">
        <v>149682</v>
      </c>
      <c r="J35" s="64">
        <f>SUM(C35:I35)</f>
        <v>419421</v>
      </c>
    </row>
    <row r="36" spans="1:10" ht="12.75">
      <c r="A36" s="31"/>
      <c r="B36" s="1" t="s">
        <v>344</v>
      </c>
      <c r="C36" s="16">
        <v>-77166</v>
      </c>
      <c r="D36" s="16">
        <v>-270220</v>
      </c>
      <c r="E36" s="16">
        <v>-213483</v>
      </c>
      <c r="F36" s="16">
        <v>0</v>
      </c>
      <c r="G36" s="16">
        <v>0</v>
      </c>
      <c r="H36" s="16">
        <v>-53017</v>
      </c>
      <c r="I36" s="16">
        <v>-6449</v>
      </c>
      <c r="J36" s="64">
        <f>SUM(C36:I36)</f>
        <v>-620335</v>
      </c>
    </row>
    <row r="37" spans="1:10" ht="12.75">
      <c r="A37" s="31"/>
      <c r="B37" s="1" t="s">
        <v>345</v>
      </c>
      <c r="C37" s="152">
        <v>-281286</v>
      </c>
      <c r="D37" s="152">
        <v>-108745</v>
      </c>
      <c r="E37" s="152">
        <v>-24169</v>
      </c>
      <c r="F37" s="152">
        <v>-12019</v>
      </c>
      <c r="G37" s="152">
        <v>-30407</v>
      </c>
      <c r="H37" s="152">
        <v>-66686</v>
      </c>
      <c r="I37" s="152">
        <v>-67729</v>
      </c>
      <c r="J37" s="64">
        <f>SUM(C37:I37)</f>
        <v>-591041</v>
      </c>
    </row>
    <row r="38" spans="1:10" ht="12.75">
      <c r="A38" s="31"/>
      <c r="B38" s="1"/>
      <c r="C38" s="95"/>
      <c r="D38" s="95"/>
      <c r="E38" s="95"/>
      <c r="F38" s="95"/>
      <c r="G38" s="95"/>
      <c r="H38" s="95"/>
      <c r="I38" s="95"/>
      <c r="J38" s="172"/>
    </row>
    <row r="39" spans="1:10" ht="12.75">
      <c r="A39" s="31"/>
      <c r="B39" s="1"/>
      <c r="C39" s="16"/>
      <c r="D39" s="16"/>
      <c r="E39" s="16"/>
      <c r="F39" s="16"/>
      <c r="G39" s="16"/>
      <c r="H39" s="16"/>
      <c r="I39" s="16"/>
      <c r="J39" s="64"/>
    </row>
    <row r="40" spans="1:10" ht="12.75">
      <c r="A40" s="31"/>
      <c r="B40" s="1" t="s">
        <v>154</v>
      </c>
      <c r="C40" s="15">
        <f>SUM(C33:C37)</f>
        <v>164777</v>
      </c>
      <c r="D40" s="15">
        <f aca="true" t="shared" si="1" ref="D40:I40">SUM(D33:D37)</f>
        <v>-23526</v>
      </c>
      <c r="E40" s="15">
        <f t="shared" si="1"/>
        <v>16559</v>
      </c>
      <c r="F40" s="15">
        <f t="shared" si="1"/>
        <v>130997</v>
      </c>
      <c r="G40" s="15">
        <f t="shared" si="1"/>
        <v>102509</v>
      </c>
      <c r="H40" s="15">
        <f t="shared" si="1"/>
        <v>69017</v>
      </c>
      <c r="I40" s="15">
        <f t="shared" si="1"/>
        <v>246187</v>
      </c>
      <c r="J40" s="63">
        <f>SUM(J33:J37)</f>
        <v>706520</v>
      </c>
    </row>
    <row r="41" spans="1:10" ht="12.75">
      <c r="A41" s="31"/>
      <c r="B41" s="1" t="s">
        <v>155</v>
      </c>
      <c r="C41" s="15">
        <v>0</v>
      </c>
      <c r="D41" s="15">
        <v>0</v>
      </c>
      <c r="E41" s="15">
        <v>0</v>
      </c>
      <c r="F41" s="15">
        <v>0</v>
      </c>
      <c r="G41" s="15">
        <v>0</v>
      </c>
      <c r="H41" s="15">
        <v>0</v>
      </c>
      <c r="I41" s="15">
        <v>0</v>
      </c>
      <c r="J41" s="63">
        <v>121341</v>
      </c>
    </row>
    <row r="42" spans="1:10" ht="12.75">
      <c r="A42" s="31"/>
      <c r="B42" s="1" t="s">
        <v>156</v>
      </c>
      <c r="C42" s="15">
        <v>0</v>
      </c>
      <c r="D42" s="15">
        <v>0</v>
      </c>
      <c r="E42" s="15">
        <v>0</v>
      </c>
      <c r="F42" s="15">
        <v>0</v>
      </c>
      <c r="G42" s="15">
        <v>0</v>
      </c>
      <c r="H42" s="15">
        <v>0</v>
      </c>
      <c r="I42" s="15">
        <v>0</v>
      </c>
      <c r="J42" s="172">
        <v>-281107</v>
      </c>
    </row>
    <row r="43" spans="1:10" ht="12.75">
      <c r="A43" s="31"/>
      <c r="B43" s="53"/>
      <c r="C43" s="15"/>
      <c r="D43" s="15"/>
      <c r="E43" s="15"/>
      <c r="F43" s="15"/>
      <c r="G43" s="15"/>
      <c r="H43" s="15"/>
      <c r="I43" s="15"/>
      <c r="J43" s="31"/>
    </row>
    <row r="44" spans="1:10" ht="12.75">
      <c r="A44" s="31"/>
      <c r="B44" s="1" t="s">
        <v>157</v>
      </c>
      <c r="C44" s="15"/>
      <c r="D44" s="15"/>
      <c r="E44" s="15"/>
      <c r="F44" s="15"/>
      <c r="G44" s="15"/>
      <c r="H44" s="15"/>
      <c r="I44" s="15"/>
      <c r="J44" s="63">
        <f>SUM(J40:J42)</f>
        <v>546754</v>
      </c>
    </row>
    <row r="45" spans="1:10" ht="12.75">
      <c r="A45" s="31"/>
      <c r="B45" s="1" t="s">
        <v>158</v>
      </c>
      <c r="C45" s="15">
        <v>0</v>
      </c>
      <c r="D45" s="15">
        <v>0</v>
      </c>
      <c r="E45" s="15">
        <v>0</v>
      </c>
      <c r="F45" s="15">
        <v>0</v>
      </c>
      <c r="G45" s="15">
        <v>527</v>
      </c>
      <c r="H45" s="15">
        <v>0</v>
      </c>
      <c r="I45" s="15">
        <v>8175</v>
      </c>
      <c r="J45" s="172">
        <v>8702</v>
      </c>
    </row>
    <row r="46" spans="1:10" ht="12.75">
      <c r="A46" s="31"/>
      <c r="B46" s="53"/>
      <c r="C46" s="15"/>
      <c r="D46" s="15"/>
      <c r="E46" s="15"/>
      <c r="F46" s="15"/>
      <c r="G46" s="15"/>
      <c r="H46" s="15"/>
      <c r="I46" s="15"/>
      <c r="J46" s="63"/>
    </row>
    <row r="47" spans="1:10" ht="12.75">
      <c r="A47" s="31"/>
      <c r="B47" s="1" t="s">
        <v>159</v>
      </c>
      <c r="C47" s="15">
        <v>0</v>
      </c>
      <c r="D47" s="15">
        <v>0</v>
      </c>
      <c r="E47" s="15">
        <v>0</v>
      </c>
      <c r="F47" s="15">
        <v>0</v>
      </c>
      <c r="G47" s="15">
        <v>0</v>
      </c>
      <c r="H47" s="15">
        <v>0</v>
      </c>
      <c r="I47" s="15">
        <v>0</v>
      </c>
      <c r="J47" s="63">
        <f>SUM(J44:J45)</f>
        <v>555456</v>
      </c>
    </row>
    <row r="48" spans="1:10" ht="12.75">
      <c r="A48" s="31"/>
      <c r="B48" s="1" t="s">
        <v>160</v>
      </c>
      <c r="C48" s="15">
        <v>0</v>
      </c>
      <c r="D48" s="15">
        <v>0</v>
      </c>
      <c r="E48" s="15">
        <v>0</v>
      </c>
      <c r="F48" s="15">
        <v>0</v>
      </c>
      <c r="G48" s="15">
        <v>0</v>
      </c>
      <c r="H48" s="15">
        <v>0</v>
      </c>
      <c r="I48" s="15">
        <v>0</v>
      </c>
      <c r="J48" s="172">
        <v>-152905</v>
      </c>
    </row>
    <row r="49" spans="1:10" ht="12.75">
      <c r="A49" s="31"/>
      <c r="B49" s="53"/>
      <c r="C49" s="15"/>
      <c r="D49" s="15"/>
      <c r="E49" s="15"/>
      <c r="F49" s="15"/>
      <c r="G49" s="15"/>
      <c r="H49" s="15"/>
      <c r="I49" s="15"/>
      <c r="J49" s="15"/>
    </row>
    <row r="50" spans="1:10" ht="12.75">
      <c r="A50" s="31"/>
      <c r="B50" s="53"/>
      <c r="C50" s="15">
        <v>0</v>
      </c>
      <c r="D50" s="15">
        <v>0</v>
      </c>
      <c r="E50" s="15">
        <v>0</v>
      </c>
      <c r="F50" s="15">
        <v>0</v>
      </c>
      <c r="G50" s="15">
        <v>0</v>
      </c>
      <c r="H50" s="15">
        <v>0</v>
      </c>
      <c r="I50" s="15">
        <v>0</v>
      </c>
      <c r="J50" s="63">
        <f>SUM(J47:J48)</f>
        <v>402551</v>
      </c>
    </row>
    <row r="51" spans="1:10" ht="12.75">
      <c r="A51" s="31"/>
      <c r="B51" s="1" t="s">
        <v>226</v>
      </c>
      <c r="C51" s="15">
        <v>0</v>
      </c>
      <c r="D51" s="15">
        <v>0</v>
      </c>
      <c r="E51" s="15">
        <v>0</v>
      </c>
      <c r="F51" s="15">
        <v>0</v>
      </c>
      <c r="G51" s="15">
        <v>0</v>
      </c>
      <c r="H51" s="15">
        <v>0</v>
      </c>
      <c r="I51" s="15">
        <v>0</v>
      </c>
      <c r="J51" s="63">
        <v>-16211</v>
      </c>
    </row>
    <row r="52" spans="1:10" ht="12.75">
      <c r="A52" s="31"/>
      <c r="B52" s="53"/>
      <c r="C52" s="15"/>
      <c r="D52" s="15"/>
      <c r="E52" s="15"/>
      <c r="F52" s="15"/>
      <c r="G52" s="15"/>
      <c r="H52" s="15"/>
      <c r="I52" s="15"/>
      <c r="J52" s="15"/>
    </row>
    <row r="53" spans="1:10" ht="13.5" thickBot="1">
      <c r="A53" s="31"/>
      <c r="B53" s="31" t="s">
        <v>161</v>
      </c>
      <c r="C53" s="15"/>
      <c r="D53" s="15"/>
      <c r="E53" s="15"/>
      <c r="F53" s="15"/>
      <c r="G53" s="15"/>
      <c r="H53" s="15"/>
      <c r="I53" s="15"/>
      <c r="J53" s="140">
        <f>SUM(J50:J51)</f>
        <v>386340</v>
      </c>
    </row>
    <row r="54" spans="1:10" ht="13.5" thickTop="1">
      <c r="A54" s="31"/>
      <c r="B54" s="49"/>
      <c r="C54" s="15"/>
      <c r="D54" s="15"/>
      <c r="E54" s="15"/>
      <c r="F54" s="15"/>
      <c r="G54" s="15"/>
      <c r="H54" s="15"/>
      <c r="I54" s="15"/>
      <c r="J54" s="15"/>
    </row>
    <row r="55" spans="1:10" ht="12.75">
      <c r="A55" s="31"/>
      <c r="B55" s="1" t="s">
        <v>162</v>
      </c>
      <c r="C55" s="15">
        <v>11878946</v>
      </c>
      <c r="D55" s="15">
        <v>11852238</v>
      </c>
      <c r="E55" s="15">
        <f>15270786+1317942</f>
        <v>16588728</v>
      </c>
      <c r="F55" s="15">
        <v>21124351</v>
      </c>
      <c r="G55" s="15">
        <v>10822628</v>
      </c>
      <c r="H55" s="15">
        <v>4387083</v>
      </c>
      <c r="I55" s="15">
        <f>1152854+5206635+85377+11220+8968+529719+25855-5353710+18297+146781</f>
        <v>1831996</v>
      </c>
      <c r="J55" s="63">
        <f>SUM(C55:I55)</f>
        <v>78485970</v>
      </c>
    </row>
    <row r="56" spans="1:10" ht="12.75">
      <c r="A56" s="31"/>
      <c r="B56" s="1" t="s">
        <v>163</v>
      </c>
      <c r="C56" s="15">
        <v>0</v>
      </c>
      <c r="D56" s="15">
        <v>0</v>
      </c>
      <c r="E56" s="15">
        <v>0</v>
      </c>
      <c r="F56" s="15">
        <v>0</v>
      </c>
      <c r="G56" s="15">
        <v>666</v>
      </c>
      <c r="H56" s="15">
        <v>0</v>
      </c>
      <c r="I56" s="15">
        <v>170290</v>
      </c>
      <c r="J56" s="173">
        <f>SUM(C56:I56)</f>
        <v>170956</v>
      </c>
    </row>
    <row r="57" spans="1:10" ht="12.75">
      <c r="A57" s="31"/>
      <c r="B57" s="1" t="s">
        <v>164</v>
      </c>
      <c r="C57" s="95"/>
      <c r="D57" s="95"/>
      <c r="E57" s="95"/>
      <c r="F57" s="95"/>
      <c r="G57" s="95"/>
      <c r="H57" s="51"/>
      <c r="I57" s="51"/>
      <c r="J57" s="172">
        <v>5667844</v>
      </c>
    </row>
    <row r="58" spans="1:10" ht="12.75">
      <c r="A58" s="31"/>
      <c r="B58" s="53"/>
      <c r="C58" s="15">
        <f>SUM(C55:C57)</f>
        <v>11878946</v>
      </c>
      <c r="D58" s="15">
        <f aca="true" t="shared" si="2" ref="D58:I58">SUM(D55:D57)</f>
        <v>11852238</v>
      </c>
      <c r="E58" s="15">
        <f>SUM(E55:E57)</f>
        <v>16588728</v>
      </c>
      <c r="F58" s="15">
        <f t="shared" si="2"/>
        <v>21124351</v>
      </c>
      <c r="G58" s="15">
        <f t="shared" si="2"/>
        <v>10823294</v>
      </c>
      <c r="H58" s="15">
        <f t="shared" si="2"/>
        <v>4387083</v>
      </c>
      <c r="I58" s="15">
        <f t="shared" si="2"/>
        <v>2002286</v>
      </c>
      <c r="J58" s="31"/>
    </row>
    <row r="59" spans="1:10" ht="13.5" thickBot="1">
      <c r="A59" s="31"/>
      <c r="B59" s="31" t="s">
        <v>165</v>
      </c>
      <c r="C59" s="174"/>
      <c r="D59" s="174"/>
      <c r="E59" s="174"/>
      <c r="F59" s="174"/>
      <c r="G59" s="174"/>
      <c r="H59" s="175"/>
      <c r="I59" s="175"/>
      <c r="J59" s="176">
        <f>SUM(J55:J57)</f>
        <v>84324770</v>
      </c>
    </row>
    <row r="60" spans="1:10" ht="13.5" thickTop="1">
      <c r="A60" s="31"/>
      <c r="B60" s="53"/>
      <c r="C60" s="15"/>
      <c r="D60" s="15"/>
      <c r="E60" s="15"/>
      <c r="F60" s="15"/>
      <c r="G60" s="15"/>
      <c r="H60" s="1"/>
      <c r="I60" s="1"/>
      <c r="J60" s="31"/>
    </row>
    <row r="61" spans="1:10" ht="12.75">
      <c r="A61" s="31"/>
      <c r="B61" s="1" t="s">
        <v>166</v>
      </c>
      <c r="C61" s="15">
        <v>10246347</v>
      </c>
      <c r="D61" s="15">
        <v>10899030</v>
      </c>
      <c r="E61" s="15">
        <f>16876508+49719</f>
        <v>16926227</v>
      </c>
      <c r="F61" s="15">
        <v>21249494</v>
      </c>
      <c r="G61" s="15">
        <v>10613731</v>
      </c>
      <c r="H61" s="15">
        <v>4037892</v>
      </c>
      <c r="I61" s="15">
        <f>-3117638+579681+70521+1175+6016+445119+13994+4951+111083</f>
        <v>-1885098</v>
      </c>
      <c r="J61" s="63">
        <f>SUM(C61:I61)</f>
        <v>72087623</v>
      </c>
    </row>
    <row r="62" spans="1:10" ht="12.75">
      <c r="A62" s="31"/>
      <c r="B62" s="1" t="s">
        <v>167</v>
      </c>
      <c r="C62" s="16">
        <v>0</v>
      </c>
      <c r="D62" s="16">
        <v>0</v>
      </c>
      <c r="E62" s="16">
        <v>0</v>
      </c>
      <c r="F62" s="16">
        <v>0</v>
      </c>
      <c r="G62" s="16">
        <v>0</v>
      </c>
      <c r="H62" s="190">
        <v>0</v>
      </c>
      <c r="I62" s="190">
        <v>0</v>
      </c>
      <c r="J62" s="64">
        <v>5291781</v>
      </c>
    </row>
    <row r="63" spans="1:2" ht="12.75">
      <c r="A63" s="31"/>
      <c r="B63" s="53"/>
    </row>
    <row r="64" spans="1:10" ht="13.5" thickBot="1">
      <c r="A64" s="31"/>
      <c r="B64" s="31" t="s">
        <v>168</v>
      </c>
      <c r="C64" s="177">
        <v>0</v>
      </c>
      <c r="D64" s="177">
        <v>0</v>
      </c>
      <c r="E64" s="177">
        <v>0</v>
      </c>
      <c r="F64" s="177">
        <v>0</v>
      </c>
      <c r="G64" s="177">
        <v>0</v>
      </c>
      <c r="H64" s="196">
        <v>0</v>
      </c>
      <c r="I64" s="196">
        <v>0</v>
      </c>
      <c r="J64" s="178">
        <f>SUM(J61:J62)</f>
        <v>77379404</v>
      </c>
    </row>
    <row r="65" spans="1:10" ht="13.5" thickTop="1">
      <c r="A65" s="31"/>
      <c r="B65" s="49"/>
      <c r="D65" s="15"/>
      <c r="E65" s="15"/>
      <c r="F65" s="15"/>
      <c r="G65" s="15"/>
      <c r="H65" s="15"/>
      <c r="I65" s="15"/>
      <c r="J65" s="15"/>
    </row>
    <row r="66" spans="1:10" ht="12.75">
      <c r="A66" s="31"/>
      <c r="B66" s="49"/>
      <c r="C66" s="15"/>
      <c r="D66" s="15"/>
      <c r="E66" s="15"/>
      <c r="F66" s="15"/>
      <c r="G66" s="15"/>
      <c r="H66" s="15"/>
      <c r="I66" s="15"/>
      <c r="J66" s="15"/>
    </row>
    <row r="67" spans="1:10" ht="12.75">
      <c r="A67" s="31" t="s">
        <v>370</v>
      </c>
      <c r="B67" s="31" t="s">
        <v>346</v>
      </c>
      <c r="C67" s="1"/>
      <c r="D67" s="1"/>
      <c r="E67" s="1"/>
      <c r="F67" s="1"/>
      <c r="G67" s="1"/>
      <c r="H67" s="1"/>
      <c r="I67" s="1"/>
      <c r="J67" s="91"/>
    </row>
    <row r="68" spans="2:7" ht="12.75">
      <c r="B68" s="49"/>
      <c r="C68" s="201" t="s">
        <v>301</v>
      </c>
      <c r="D68" s="201"/>
      <c r="E68" s="201" t="s">
        <v>302</v>
      </c>
      <c r="F68" s="201"/>
      <c r="G68" s="201"/>
    </row>
    <row r="69" spans="2:13" ht="12.75">
      <c r="B69" s="1"/>
      <c r="C69" s="28"/>
      <c r="D69" s="104" t="s">
        <v>83</v>
      </c>
      <c r="F69" s="104" t="s">
        <v>83</v>
      </c>
      <c r="G69" s="104" t="s">
        <v>26</v>
      </c>
      <c r="H69" s="28"/>
      <c r="I69" s="28"/>
      <c r="J69" s="28"/>
      <c r="K69" s="37"/>
      <c r="L69" s="14"/>
      <c r="M69" s="37"/>
    </row>
    <row r="70" spans="2:13" ht="12.75">
      <c r="B70" s="1"/>
      <c r="C70" s="104" t="s">
        <v>71</v>
      </c>
      <c r="D70" s="88" t="s">
        <v>120</v>
      </c>
      <c r="E70" s="104" t="s">
        <v>71</v>
      </c>
      <c r="F70" s="88" t="s">
        <v>120</v>
      </c>
      <c r="G70" s="104" t="s">
        <v>121</v>
      </c>
      <c r="H70" s="28"/>
      <c r="I70" s="28"/>
      <c r="J70" s="28"/>
      <c r="K70" s="37"/>
      <c r="L70" s="14"/>
      <c r="M70" s="37"/>
    </row>
    <row r="71" spans="2:13" ht="12.75">
      <c r="B71" s="89" t="s">
        <v>290</v>
      </c>
      <c r="C71" s="101" t="s">
        <v>1</v>
      </c>
      <c r="D71" s="101" t="s">
        <v>1</v>
      </c>
      <c r="E71" s="101" t="s">
        <v>1</v>
      </c>
      <c r="F71" s="101" t="s">
        <v>1</v>
      </c>
      <c r="G71" s="101" t="s">
        <v>1</v>
      </c>
      <c r="H71" s="28"/>
      <c r="I71" s="28"/>
      <c r="J71" s="28"/>
      <c r="K71" s="37"/>
      <c r="L71" s="14"/>
      <c r="M71" s="37"/>
    </row>
    <row r="72" spans="2:13" ht="12.75">
      <c r="B72" s="89"/>
      <c r="C72" s="1"/>
      <c r="E72" s="100"/>
      <c r="F72" s="100"/>
      <c r="G72" s="100"/>
      <c r="H72" s="28"/>
      <c r="I72" s="28"/>
      <c r="J72" s="28"/>
      <c r="K72" s="37"/>
      <c r="L72" s="14"/>
      <c r="M72" s="37"/>
    </row>
    <row r="73" spans="2:13" ht="12.75">
      <c r="B73" s="97" t="s">
        <v>78</v>
      </c>
      <c r="C73" s="15">
        <f>E73-933125</f>
        <v>524068</v>
      </c>
      <c r="D73" s="152">
        <f>F73-126596</f>
        <v>109356</v>
      </c>
      <c r="E73" s="16">
        <v>1457193</v>
      </c>
      <c r="F73" s="115">
        <v>235952</v>
      </c>
      <c r="G73" s="115">
        <v>65793233</v>
      </c>
      <c r="H73" s="16"/>
      <c r="I73" s="16"/>
      <c r="J73" s="16"/>
      <c r="K73" s="37"/>
      <c r="L73" s="116"/>
      <c r="M73" s="37"/>
    </row>
    <row r="74" spans="2:13" ht="12.75">
      <c r="B74" s="97" t="s">
        <v>79</v>
      </c>
      <c r="C74" s="15">
        <f>E74-36345</f>
        <v>9358</v>
      </c>
      <c r="D74" s="152">
        <f>F74-27220</f>
        <v>191</v>
      </c>
      <c r="E74" s="16">
        <v>45703</v>
      </c>
      <c r="F74" s="115">
        <v>27411</v>
      </c>
      <c r="G74" s="115">
        <v>3024856</v>
      </c>
      <c r="H74" s="16"/>
      <c r="I74" s="16"/>
      <c r="J74" s="16"/>
      <c r="K74" s="37"/>
      <c r="L74" s="116"/>
      <c r="M74" s="37"/>
    </row>
    <row r="75" spans="2:13" ht="12.75">
      <c r="B75" s="97" t="s">
        <v>80</v>
      </c>
      <c r="C75" s="15">
        <f>E75-168598</f>
        <v>97126</v>
      </c>
      <c r="D75" s="152">
        <f>F75-88960</f>
        <v>50398</v>
      </c>
      <c r="E75" s="16">
        <v>265724</v>
      </c>
      <c r="F75" s="115">
        <v>139358</v>
      </c>
      <c r="G75" s="115">
        <v>5160149</v>
      </c>
      <c r="H75" s="16"/>
      <c r="I75" s="16"/>
      <c r="J75" s="16"/>
      <c r="K75" s="37"/>
      <c r="L75" s="116"/>
      <c r="M75" s="37"/>
    </row>
    <row r="76" spans="2:13" ht="12.75">
      <c r="B76" s="97" t="s">
        <v>208</v>
      </c>
      <c r="C76" s="15">
        <f>E76-73148</f>
        <v>48200</v>
      </c>
      <c r="D76" s="152">
        <f>F76-18446</f>
        <v>17919</v>
      </c>
      <c r="E76" s="16">
        <v>121348</v>
      </c>
      <c r="F76" s="115">
        <v>36365</v>
      </c>
      <c r="G76" s="115">
        <v>9550859</v>
      </c>
      <c r="H76" s="16"/>
      <c r="I76" s="16"/>
      <c r="J76" s="16"/>
      <c r="K76" s="37"/>
      <c r="L76" s="116"/>
      <c r="M76" s="37"/>
    </row>
    <row r="77" spans="2:13" ht="12.75">
      <c r="B77" s="97" t="s">
        <v>209</v>
      </c>
      <c r="C77" s="15">
        <f>E77-31411</f>
        <v>8276</v>
      </c>
      <c r="D77" s="152">
        <f>F77-15225</f>
        <v>3407</v>
      </c>
      <c r="E77" s="16">
        <v>39687</v>
      </c>
      <c r="F77" s="115">
        <v>18632</v>
      </c>
      <c r="G77" s="115">
        <v>341877</v>
      </c>
      <c r="H77" s="16"/>
      <c r="I77" s="16"/>
      <c r="J77" s="16"/>
      <c r="K77" s="37"/>
      <c r="L77" s="116"/>
      <c r="M77" s="37"/>
    </row>
    <row r="78" spans="2:13" ht="12.75">
      <c r="B78" s="97" t="s">
        <v>210</v>
      </c>
      <c r="C78" s="15">
        <f>E78-44064</f>
        <v>31658</v>
      </c>
      <c r="D78" s="152">
        <f>F78-40447</f>
        <v>32952</v>
      </c>
      <c r="E78" s="16">
        <v>75722</v>
      </c>
      <c r="F78" s="115">
        <v>73399</v>
      </c>
      <c r="G78" s="115">
        <v>3104548</v>
      </c>
      <c r="H78" s="16"/>
      <c r="I78" s="16"/>
      <c r="J78" s="16"/>
      <c r="K78" s="37"/>
      <c r="L78" s="116"/>
      <c r="M78" s="37"/>
    </row>
    <row r="79" spans="2:13" ht="12.75">
      <c r="B79" s="97" t="s">
        <v>211</v>
      </c>
      <c r="C79" s="15">
        <f>E79-2512</f>
        <v>-387</v>
      </c>
      <c r="D79" s="152">
        <f>F79-1898</f>
        <v>-694</v>
      </c>
      <c r="E79" s="16">
        <v>2125</v>
      </c>
      <c r="F79" s="115">
        <v>1204</v>
      </c>
      <c r="G79" s="115">
        <v>529719</v>
      </c>
      <c r="H79" s="16"/>
      <c r="I79" s="16"/>
      <c r="J79" s="16"/>
      <c r="K79" s="37"/>
      <c r="L79" s="116"/>
      <c r="M79" s="37"/>
    </row>
    <row r="80" spans="2:13" ht="12.75">
      <c r="B80" s="97" t="s">
        <v>81</v>
      </c>
      <c r="C80" s="15">
        <f>E80-6415</f>
        <v>2348</v>
      </c>
      <c r="D80" s="152">
        <f>F80-3370</f>
        <v>773</v>
      </c>
      <c r="E80" s="16">
        <f>7461+1302</f>
        <v>8763</v>
      </c>
      <c r="F80" s="115">
        <f>2959+1184</f>
        <v>4143</v>
      </c>
      <c r="G80" s="115">
        <f>25885+16669</f>
        <v>42554</v>
      </c>
      <c r="H80" s="16"/>
      <c r="I80" s="16"/>
      <c r="J80" s="16"/>
      <c r="K80" s="37"/>
      <c r="L80" s="116"/>
      <c r="M80" s="37"/>
    </row>
    <row r="81" spans="2:13" ht="12.75">
      <c r="B81" s="97" t="s">
        <v>212</v>
      </c>
      <c r="C81" s="95">
        <f>E81-44991</f>
        <v>31987</v>
      </c>
      <c r="D81" s="146">
        <f>F81-34007</f>
        <v>7995</v>
      </c>
      <c r="E81" s="117">
        <v>76978</v>
      </c>
      <c r="F81" s="117">
        <v>42002</v>
      </c>
      <c r="G81" s="117">
        <v>2011335</v>
      </c>
      <c r="H81" s="16"/>
      <c r="I81" s="16"/>
      <c r="J81" s="16"/>
      <c r="K81" s="37"/>
      <c r="L81" s="116"/>
      <c r="M81" s="37"/>
    </row>
    <row r="82" spans="2:13" ht="12.75">
      <c r="B82" s="98"/>
      <c r="C82" s="115">
        <f>SUM(C73:C81)</f>
        <v>752634</v>
      </c>
      <c r="D82" s="115">
        <f>SUM(D73:D81)</f>
        <v>222297</v>
      </c>
      <c r="E82" s="115">
        <f>SUM(E73:E81)</f>
        <v>2093243</v>
      </c>
      <c r="F82" s="115">
        <f>SUM(F73:F81)</f>
        <v>578466</v>
      </c>
      <c r="G82" s="115">
        <f>SUM(G73:G81)</f>
        <v>89559130</v>
      </c>
      <c r="H82" s="16"/>
      <c r="I82" s="16"/>
      <c r="J82" s="16"/>
      <c r="K82" s="37"/>
      <c r="L82" s="116"/>
      <c r="M82" s="37"/>
    </row>
    <row r="83" spans="2:13" ht="12.75">
      <c r="B83" s="99" t="s">
        <v>82</v>
      </c>
      <c r="C83" s="16">
        <f>E83+30116</f>
        <v>-23890</v>
      </c>
      <c r="D83" s="16">
        <f>F83+9604</f>
        <v>-13406</v>
      </c>
      <c r="E83" s="16">
        <v>-54006</v>
      </c>
      <c r="F83" s="16">
        <v>-23010</v>
      </c>
      <c r="G83" s="16">
        <v>-5234360</v>
      </c>
      <c r="H83" s="16"/>
      <c r="I83" s="16"/>
      <c r="J83" s="16"/>
      <c r="K83" s="37"/>
      <c r="L83" s="16"/>
      <c r="M83" s="37"/>
    </row>
    <row r="84" spans="2:13" ht="13.5" thickBot="1">
      <c r="B84" s="90" t="s">
        <v>26</v>
      </c>
      <c r="C84" s="96">
        <f>SUM(C82:C83)</f>
        <v>728744</v>
      </c>
      <c r="D84" s="96">
        <f>SUM(D82:D83)</f>
        <v>208891</v>
      </c>
      <c r="E84" s="96">
        <f>SUM(E82:E83)</f>
        <v>2039237</v>
      </c>
      <c r="F84" s="96">
        <f>SUM(F82:F83)</f>
        <v>555456</v>
      </c>
      <c r="G84" s="96">
        <f>SUM(G82:G83)</f>
        <v>84324770</v>
      </c>
      <c r="H84" s="54"/>
      <c r="I84" s="54"/>
      <c r="J84" s="54"/>
      <c r="K84" s="37"/>
      <c r="L84" s="54"/>
      <c r="M84" s="37"/>
    </row>
    <row r="85" spans="2:13" ht="12.75">
      <c r="B85" s="90"/>
      <c r="C85" s="94"/>
      <c r="D85" s="94"/>
      <c r="E85" s="94"/>
      <c r="F85" s="94"/>
      <c r="G85" s="94"/>
      <c r="H85" s="54"/>
      <c r="I85" s="54"/>
      <c r="J85" s="54"/>
      <c r="K85" s="37"/>
      <c r="L85" s="54"/>
      <c r="M85" s="37"/>
    </row>
    <row r="86" spans="2:13" ht="12.75">
      <c r="B86" s="90"/>
      <c r="C86" s="94"/>
      <c r="D86" s="94"/>
      <c r="E86" s="94"/>
      <c r="F86" s="94"/>
      <c r="G86" s="94"/>
      <c r="H86" s="54"/>
      <c r="I86" s="54"/>
      <c r="J86" s="54"/>
      <c r="K86" s="37"/>
      <c r="L86" s="54"/>
      <c r="M86" s="37"/>
    </row>
    <row r="87" spans="2:13" ht="12.75">
      <c r="B87" s="1"/>
      <c r="C87" s="91"/>
      <c r="D87" s="1"/>
      <c r="F87" s="94"/>
      <c r="G87" s="94"/>
      <c r="H87" s="54"/>
      <c r="I87" s="54"/>
      <c r="J87" s="54"/>
      <c r="L87" s="54"/>
      <c r="M87" s="94"/>
    </row>
    <row r="88" spans="2:13" ht="12.75">
      <c r="B88" s="1"/>
      <c r="C88" s="201" t="s">
        <v>301</v>
      </c>
      <c r="D88" s="201"/>
      <c r="E88" s="201" t="s">
        <v>302</v>
      </c>
      <c r="F88" s="201"/>
      <c r="G88" s="201"/>
      <c r="H88" s="54"/>
      <c r="I88" s="54"/>
      <c r="J88" s="54"/>
      <c r="K88" s="37"/>
      <c r="L88" s="54"/>
      <c r="M88" s="94"/>
    </row>
    <row r="89" spans="2:12" ht="12.75">
      <c r="B89" s="1"/>
      <c r="C89" s="28"/>
      <c r="D89" s="104" t="s">
        <v>83</v>
      </c>
      <c r="E89" s="104"/>
      <c r="F89" s="104" t="s">
        <v>83</v>
      </c>
      <c r="G89" s="104" t="s">
        <v>26</v>
      </c>
      <c r="H89" s="28"/>
      <c r="I89" s="28"/>
      <c r="J89" s="28"/>
      <c r="K89" s="37"/>
      <c r="L89" s="14"/>
    </row>
    <row r="90" spans="2:12" ht="12.75">
      <c r="B90" s="1"/>
      <c r="C90" s="104" t="s">
        <v>71</v>
      </c>
      <c r="D90" s="88" t="s">
        <v>120</v>
      </c>
      <c r="E90" s="104" t="s">
        <v>71</v>
      </c>
      <c r="F90" s="88" t="s">
        <v>120</v>
      </c>
      <c r="G90" s="104" t="s">
        <v>121</v>
      </c>
      <c r="H90" s="104"/>
      <c r="I90" s="28"/>
      <c r="J90" s="28"/>
      <c r="K90" s="37"/>
      <c r="L90" s="14"/>
    </row>
    <row r="91" spans="2:12" ht="12.75">
      <c r="B91" s="89" t="s">
        <v>292</v>
      </c>
      <c r="C91" s="101" t="s">
        <v>1</v>
      </c>
      <c r="D91" s="101" t="s">
        <v>1</v>
      </c>
      <c r="E91" s="101" t="s">
        <v>1</v>
      </c>
      <c r="F91" s="101" t="s">
        <v>1</v>
      </c>
      <c r="G91" s="101" t="s">
        <v>1</v>
      </c>
      <c r="H91" s="104"/>
      <c r="I91" s="28"/>
      <c r="J91" s="28"/>
      <c r="K91" s="37"/>
      <c r="L91" s="14"/>
    </row>
    <row r="92" spans="2:12" ht="12.75">
      <c r="B92" s="89"/>
      <c r="C92" s="1"/>
      <c r="E92" s="100"/>
      <c r="F92" s="100"/>
      <c r="G92" s="100"/>
      <c r="H92" s="104"/>
      <c r="I92" s="28"/>
      <c r="J92" s="28"/>
      <c r="K92" s="37"/>
      <c r="L92" s="14"/>
    </row>
    <row r="93" spans="2:12" ht="12.75">
      <c r="B93" s="97" t="s">
        <v>78</v>
      </c>
      <c r="C93" s="15">
        <f>E93-976332</f>
        <v>480861</v>
      </c>
      <c r="D93" s="152">
        <f>F93-221003</f>
        <v>42605</v>
      </c>
      <c r="E93" s="16">
        <v>1457193</v>
      </c>
      <c r="F93" s="115">
        <v>263608</v>
      </c>
      <c r="G93" s="115">
        <v>59367501</v>
      </c>
      <c r="H93" s="16"/>
      <c r="I93" s="16"/>
      <c r="J93" s="16"/>
      <c r="K93" s="37"/>
      <c r="L93" s="116"/>
    </row>
    <row r="94" spans="2:12" ht="12.75">
      <c r="B94" s="97" t="s">
        <v>79</v>
      </c>
      <c r="C94" s="15">
        <f>E94-34499</f>
        <v>11204</v>
      </c>
      <c r="D94" s="152">
        <f>F94-20876</f>
        <v>6565</v>
      </c>
      <c r="E94" s="16">
        <v>45703</v>
      </c>
      <c r="F94" s="115">
        <v>27441</v>
      </c>
      <c r="G94" s="115">
        <v>2874633</v>
      </c>
      <c r="H94" s="16"/>
      <c r="I94" s="16"/>
      <c r="J94" s="16"/>
      <c r="K94" s="37"/>
      <c r="L94" s="116"/>
    </row>
    <row r="95" spans="2:12" ht="12.75">
      <c r="B95" s="97" t="s">
        <v>80</v>
      </c>
      <c r="C95" s="15">
        <f>E95-120236</f>
        <v>85065</v>
      </c>
      <c r="D95" s="152">
        <f>F95-49926</f>
        <v>14080</v>
      </c>
      <c r="E95" s="16">
        <v>205301</v>
      </c>
      <c r="F95" s="115">
        <v>64006</v>
      </c>
      <c r="G95" s="115">
        <v>4079985</v>
      </c>
      <c r="H95" s="16"/>
      <c r="I95" s="16"/>
      <c r="J95" s="16"/>
      <c r="K95" s="37"/>
      <c r="L95" s="116"/>
    </row>
    <row r="96" spans="2:12" ht="12.75">
      <c r="B96" s="97" t="s">
        <v>208</v>
      </c>
      <c r="C96" s="15">
        <f>E96-178178</f>
        <v>70691</v>
      </c>
      <c r="D96" s="152">
        <f>F96-103321</f>
        <v>48983</v>
      </c>
      <c r="E96" s="16">
        <v>248869</v>
      </c>
      <c r="F96" s="115">
        <v>152304</v>
      </c>
      <c r="G96" s="115">
        <v>7311238</v>
      </c>
      <c r="H96" s="16"/>
      <c r="I96" s="16"/>
      <c r="J96" s="16"/>
      <c r="K96" s="37"/>
      <c r="L96" s="116"/>
    </row>
    <row r="97" spans="2:12" ht="12.75">
      <c r="B97" s="97" t="s">
        <v>209</v>
      </c>
      <c r="C97" s="15">
        <f>E97-14075</f>
        <v>9647</v>
      </c>
      <c r="D97" s="152">
        <f>F97-3528</f>
        <v>1435</v>
      </c>
      <c r="E97" s="16">
        <v>23722</v>
      </c>
      <c r="F97" s="115">
        <v>4963</v>
      </c>
      <c r="G97" s="115">
        <v>335528</v>
      </c>
      <c r="H97" s="16"/>
      <c r="I97" s="16"/>
      <c r="J97" s="16"/>
      <c r="K97" s="37"/>
      <c r="L97" s="116"/>
    </row>
    <row r="98" spans="2:12" ht="12.75">
      <c r="B98" s="97" t="s">
        <v>210</v>
      </c>
      <c r="C98" s="15">
        <f>E98-36458</f>
        <v>7904</v>
      </c>
      <c r="D98" s="152">
        <f>F98-34255</f>
        <v>6648</v>
      </c>
      <c r="E98" s="16">
        <v>44362</v>
      </c>
      <c r="F98" s="115">
        <v>40903</v>
      </c>
      <c r="G98" s="115">
        <v>3119593</v>
      </c>
      <c r="H98" s="16"/>
      <c r="I98" s="16"/>
      <c r="J98" s="16"/>
      <c r="K98" s="37"/>
      <c r="L98" s="116"/>
    </row>
    <row r="99" spans="2:12" ht="12.75">
      <c r="B99" s="97" t="s">
        <v>211</v>
      </c>
      <c r="C99" s="15">
        <f>E99-385</f>
        <v>735</v>
      </c>
      <c r="D99" s="152">
        <f>F99+473</f>
        <v>193</v>
      </c>
      <c r="E99" s="16">
        <v>1120</v>
      </c>
      <c r="F99" s="115">
        <v>-280</v>
      </c>
      <c r="G99" s="115">
        <v>462337</v>
      </c>
      <c r="H99" s="16"/>
      <c r="I99" s="16"/>
      <c r="J99" s="16"/>
      <c r="K99" s="37"/>
      <c r="L99" s="116"/>
    </row>
    <row r="100" spans="2:12" ht="12.75">
      <c r="B100" s="97" t="s">
        <v>81</v>
      </c>
      <c r="C100" s="15">
        <f>E100-5138</f>
        <v>2865</v>
      </c>
      <c r="D100" s="152">
        <f>F100-2288</f>
        <v>1626</v>
      </c>
      <c r="E100" s="16">
        <v>8003</v>
      </c>
      <c r="F100" s="115">
        <v>3914</v>
      </c>
      <c r="G100" s="115">
        <v>51726</v>
      </c>
      <c r="H100" s="16"/>
      <c r="I100" s="16"/>
      <c r="J100" s="16"/>
      <c r="K100" s="37"/>
      <c r="L100" s="116"/>
    </row>
    <row r="101" spans="2:12" ht="12.75">
      <c r="B101" s="97" t="s">
        <v>212</v>
      </c>
      <c r="C101" s="95">
        <f>E101-18237</f>
        <v>32950</v>
      </c>
      <c r="D101" s="146">
        <f>F101-9029</f>
        <v>30294</v>
      </c>
      <c r="E101" s="117">
        <v>51187</v>
      </c>
      <c r="F101" s="117">
        <v>39323</v>
      </c>
      <c r="G101" s="117">
        <v>2463722</v>
      </c>
      <c r="H101" s="115"/>
      <c r="I101" s="16"/>
      <c r="J101" s="16"/>
      <c r="K101" s="37"/>
      <c r="L101" s="116"/>
    </row>
    <row r="102" spans="2:12" ht="12.75">
      <c r="B102" s="98"/>
      <c r="C102" s="115">
        <f>SUM(C93:C101)</f>
        <v>701922</v>
      </c>
      <c r="D102" s="115">
        <f>SUM(D93:D101)</f>
        <v>152429</v>
      </c>
      <c r="E102" s="115">
        <f>SUM(E93:E101)</f>
        <v>2085460</v>
      </c>
      <c r="F102" s="115">
        <f>SUM(F93:F101)</f>
        <v>596182</v>
      </c>
      <c r="G102" s="115">
        <f>SUM(G93:G101)</f>
        <v>80066263</v>
      </c>
      <c r="H102" s="115"/>
      <c r="I102" s="16"/>
      <c r="J102" s="16"/>
      <c r="K102" s="37"/>
      <c r="L102" s="116"/>
    </row>
    <row r="103" spans="2:12" ht="12.75">
      <c r="B103" s="99" t="s">
        <v>82</v>
      </c>
      <c r="C103" s="16">
        <v>-13242</v>
      </c>
      <c r="D103" s="16">
        <v>-2618</v>
      </c>
      <c r="E103" s="16">
        <v>-31859</v>
      </c>
      <c r="F103" s="16">
        <v>-18968</v>
      </c>
      <c r="G103" s="16">
        <v>-5013273</v>
      </c>
      <c r="H103" s="16"/>
      <c r="I103" s="16"/>
      <c r="J103" s="16"/>
      <c r="K103" s="37"/>
      <c r="L103" s="16"/>
    </row>
    <row r="104" spans="2:12" ht="13.5" thickBot="1">
      <c r="B104" s="90" t="s">
        <v>26</v>
      </c>
      <c r="C104" s="96">
        <f>SUM(C102:C103)</f>
        <v>688680</v>
      </c>
      <c r="D104" s="96">
        <f>SUM(D102:D103)</f>
        <v>149811</v>
      </c>
      <c r="E104" s="96">
        <f>SUM(E102:E103)</f>
        <v>2053601</v>
      </c>
      <c r="F104" s="96">
        <f>SUM(F102:F103)</f>
        <v>577214</v>
      </c>
      <c r="G104" s="96">
        <f>SUM(G102:G103)</f>
        <v>75052990</v>
      </c>
      <c r="H104" s="94"/>
      <c r="I104" s="54"/>
      <c r="J104" s="54"/>
      <c r="K104" s="37"/>
      <c r="L104" s="54"/>
    </row>
    <row r="105" spans="2:13" ht="12.75">
      <c r="B105" s="90"/>
      <c r="C105" s="94"/>
      <c r="D105" s="94"/>
      <c r="E105" s="94"/>
      <c r="G105" s="94"/>
      <c r="H105" s="54"/>
      <c r="I105" s="54"/>
      <c r="J105" s="54"/>
      <c r="K105" s="54"/>
      <c r="L105" s="54"/>
      <c r="M105" s="94"/>
    </row>
    <row r="106" spans="1:13" ht="14.25">
      <c r="A106" s="31" t="s">
        <v>371</v>
      </c>
      <c r="B106" s="31" t="s">
        <v>347</v>
      </c>
      <c r="C106" s="43"/>
      <c r="D106" s="43"/>
      <c r="E106" s="44"/>
      <c r="F106" s="44"/>
      <c r="G106" s="44"/>
      <c r="H106" s="44"/>
      <c r="I106" s="192"/>
      <c r="J106" s="192"/>
      <c r="K106" s="192"/>
      <c r="L106" s="192"/>
      <c r="M106" s="44"/>
    </row>
    <row r="107" spans="2:13" ht="14.25">
      <c r="B107" s="31" t="s">
        <v>348</v>
      </c>
      <c r="C107" s="43"/>
      <c r="D107" s="43"/>
      <c r="E107" s="44"/>
      <c r="F107" s="44"/>
      <c r="G107" s="44"/>
      <c r="H107" s="44"/>
      <c r="I107" s="192"/>
      <c r="J107" s="192"/>
      <c r="K107" s="192"/>
      <c r="L107" s="192"/>
      <c r="M107" s="44"/>
    </row>
    <row r="108" spans="2:12" ht="15">
      <c r="B108" s="45"/>
      <c r="F108" s="201" t="s">
        <v>25</v>
      </c>
      <c r="G108" s="201"/>
      <c r="I108" s="37"/>
      <c r="J108" s="37"/>
      <c r="K108" s="37"/>
      <c r="L108" s="37"/>
    </row>
    <row r="109" spans="2:12" ht="14.25">
      <c r="B109" s="44"/>
      <c r="F109" s="106" t="s">
        <v>290</v>
      </c>
      <c r="G109" s="106" t="s">
        <v>143</v>
      </c>
      <c r="I109" s="37"/>
      <c r="J109" s="14"/>
      <c r="K109" s="37"/>
      <c r="L109" s="14"/>
    </row>
    <row r="110" spans="2:12" ht="14.25">
      <c r="B110" s="44"/>
      <c r="F110" s="46" t="s">
        <v>1</v>
      </c>
      <c r="G110" s="46" t="s">
        <v>1</v>
      </c>
      <c r="I110" s="37"/>
      <c r="J110" s="14"/>
      <c r="K110" s="37"/>
      <c r="L110" s="14"/>
    </row>
    <row r="111" spans="2:12" ht="14.25">
      <c r="B111" s="44"/>
      <c r="F111" s="84"/>
      <c r="G111" s="84"/>
      <c r="I111" s="37"/>
      <c r="J111" s="84"/>
      <c r="K111" s="37"/>
      <c r="L111" s="84"/>
    </row>
    <row r="112" spans="2:12" ht="14.25">
      <c r="B112" s="44"/>
      <c r="F112" s="84"/>
      <c r="G112" s="84"/>
      <c r="I112" s="37"/>
      <c r="J112" s="84"/>
      <c r="K112" s="37"/>
      <c r="L112" s="84"/>
    </row>
    <row r="113" spans="2:12" ht="12.75">
      <c r="B113" s="1" t="s">
        <v>27</v>
      </c>
      <c r="F113" s="85">
        <f>1540896+156151</f>
        <v>1697047</v>
      </c>
      <c r="G113" s="36">
        <v>1391932</v>
      </c>
      <c r="I113" s="37"/>
      <c r="J113" s="36"/>
      <c r="K113" s="37"/>
      <c r="L113" s="36"/>
    </row>
    <row r="114" spans="2:12" ht="12.75">
      <c r="B114" s="1" t="s">
        <v>28</v>
      </c>
      <c r="F114" s="85">
        <v>381787</v>
      </c>
      <c r="G114" s="36">
        <v>522261</v>
      </c>
      <c r="I114" s="37"/>
      <c r="J114" s="36"/>
      <c r="K114" s="37"/>
      <c r="L114" s="36"/>
    </row>
    <row r="115" spans="2:12" ht="12.75">
      <c r="B115" s="1" t="s">
        <v>29</v>
      </c>
      <c r="F115" s="85">
        <f>7991543+37256</f>
        <v>8028799</v>
      </c>
      <c r="G115" s="36">
        <v>7367885</v>
      </c>
      <c r="J115" s="36"/>
      <c r="L115" s="36"/>
    </row>
    <row r="116" spans="2:12" ht="12.75">
      <c r="B116" s="1" t="s">
        <v>30</v>
      </c>
      <c r="F116" s="85">
        <f>1607437</f>
        <v>1607437</v>
      </c>
      <c r="G116" s="36">
        <v>1285648</v>
      </c>
      <c r="J116" s="36"/>
      <c r="L116" s="36"/>
    </row>
    <row r="117" spans="2:12" ht="12.75">
      <c r="B117" s="1" t="s">
        <v>31</v>
      </c>
      <c r="F117" s="85">
        <f>3701073+232377</f>
        <v>3933450</v>
      </c>
      <c r="G117" s="36">
        <v>3576696</v>
      </c>
      <c r="J117" s="36"/>
      <c r="L117" s="36"/>
    </row>
    <row r="118" spans="2:12" ht="12.75">
      <c r="B118" s="1" t="s">
        <v>32</v>
      </c>
      <c r="F118" s="85">
        <f>1338362+98379</f>
        <v>1436741</v>
      </c>
      <c r="G118" s="36">
        <v>1331292</v>
      </c>
      <c r="J118" s="36"/>
      <c r="L118" s="36"/>
    </row>
    <row r="119" spans="2:12" ht="12.75">
      <c r="B119" s="1" t="s">
        <v>33</v>
      </c>
      <c r="F119" s="85"/>
      <c r="G119" s="36"/>
      <c r="J119" s="36"/>
      <c r="L119" s="36"/>
    </row>
    <row r="120" spans="2:12" ht="12.75">
      <c r="B120" s="1" t="s">
        <v>76</v>
      </c>
      <c r="F120" s="85">
        <f>8602081+18078</f>
        <v>8620159</v>
      </c>
      <c r="G120" s="36">
        <v>8094323</v>
      </c>
      <c r="J120" s="36"/>
      <c r="L120" s="36"/>
    </row>
    <row r="121" spans="2:12" ht="12.75">
      <c r="B121" s="1" t="s">
        <v>77</v>
      </c>
      <c r="F121" s="85">
        <f>2461842+261</f>
        <v>2462103</v>
      </c>
      <c r="G121" s="36">
        <v>2571714</v>
      </c>
      <c r="J121" s="36"/>
      <c r="L121" s="36"/>
    </row>
    <row r="122" spans="2:12" ht="12.75">
      <c r="B122" s="1" t="s">
        <v>34</v>
      </c>
      <c r="F122" s="85">
        <f>3545067+29834</f>
        <v>3574901</v>
      </c>
      <c r="G122" s="36">
        <v>3310208</v>
      </c>
      <c r="J122" s="36"/>
      <c r="L122" s="36"/>
    </row>
    <row r="123" spans="2:12" ht="12.75">
      <c r="B123" s="1" t="s">
        <v>35</v>
      </c>
      <c r="F123" s="85">
        <f>2358503+14719</f>
        <v>2373222</v>
      </c>
      <c r="G123" s="36">
        <v>2456037</v>
      </c>
      <c r="J123" s="36"/>
      <c r="L123" s="36"/>
    </row>
    <row r="124" spans="2:12" ht="12.75">
      <c r="B124" s="1" t="s">
        <v>85</v>
      </c>
      <c r="F124" s="85">
        <f>3274949+170199</f>
        <v>3445148</v>
      </c>
      <c r="G124" s="36">
        <v>3638608</v>
      </c>
      <c r="J124" s="36"/>
      <c r="L124" s="36"/>
    </row>
    <row r="125" spans="2:12" ht="12.75">
      <c r="B125" s="1" t="s">
        <v>36</v>
      </c>
      <c r="F125" s="85">
        <f>1953021+166217</f>
        <v>2119238</v>
      </c>
      <c r="G125" s="36">
        <v>1826301</v>
      </c>
      <c r="J125" s="36"/>
      <c r="L125" s="36"/>
    </row>
    <row r="126" spans="2:12" ht="12.75">
      <c r="B126" s="1" t="s">
        <v>37</v>
      </c>
      <c r="F126" s="85">
        <f>3329391+6478</f>
        <v>3335869</v>
      </c>
      <c r="G126" s="36">
        <v>2672021</v>
      </c>
      <c r="J126" s="36"/>
      <c r="L126" s="36"/>
    </row>
    <row r="127" spans="2:12" ht="12.75">
      <c r="B127" s="1" t="s">
        <v>38</v>
      </c>
      <c r="F127" s="85">
        <f>1452551</f>
        <v>1452551</v>
      </c>
      <c r="G127" s="36">
        <v>1443983</v>
      </c>
      <c r="J127" s="36"/>
      <c r="L127" s="36"/>
    </row>
    <row r="128" spans="2:12" ht="12.75">
      <c r="B128" s="1" t="s">
        <v>39</v>
      </c>
      <c r="F128" s="102">
        <f>2605453+266043+13610</f>
        <v>2885106</v>
      </c>
      <c r="G128" s="35">
        <v>3117004</v>
      </c>
      <c r="J128" s="36"/>
      <c r="L128" s="35"/>
    </row>
    <row r="129" spans="2:12" ht="13.5" thickBot="1">
      <c r="B129" s="1"/>
      <c r="F129" s="147">
        <f>SUM(F113:F128)</f>
        <v>47353558</v>
      </c>
      <c r="G129" s="83">
        <f>SUM(G113:G128)</f>
        <v>44605913</v>
      </c>
      <c r="J129" s="36"/>
      <c r="L129" s="83"/>
    </row>
    <row r="130" spans="2:13" ht="12.75">
      <c r="B130" s="1"/>
      <c r="C130" s="28"/>
      <c r="D130" s="28"/>
      <c r="E130" s="28"/>
      <c r="F130" s="28"/>
      <c r="G130" s="28"/>
      <c r="H130" s="28"/>
      <c r="I130" s="28"/>
      <c r="J130" s="28"/>
      <c r="K130" s="28"/>
      <c r="L130" s="28"/>
      <c r="M130" s="28"/>
    </row>
    <row r="131" spans="2:13" ht="12.75">
      <c r="B131" s="1"/>
      <c r="C131" s="28"/>
      <c r="D131" s="28"/>
      <c r="E131" s="28"/>
      <c r="F131" s="28"/>
      <c r="G131" s="28"/>
      <c r="H131" s="28"/>
      <c r="I131" s="28"/>
      <c r="J131" s="28"/>
      <c r="K131" s="28"/>
      <c r="L131" s="28"/>
      <c r="M131" s="28"/>
    </row>
    <row r="132" spans="2:13" ht="12.75">
      <c r="B132" s="31" t="s">
        <v>100</v>
      </c>
      <c r="C132" s="1"/>
      <c r="D132" s="1"/>
      <c r="E132" s="15"/>
      <c r="F132" s="15"/>
      <c r="G132" s="15"/>
      <c r="H132" s="15"/>
      <c r="I132" s="15"/>
      <c r="J132" s="16"/>
      <c r="K132" s="15"/>
      <c r="L132" s="15"/>
      <c r="M132" s="15"/>
    </row>
    <row r="133" spans="2:13" ht="12.75">
      <c r="B133" s="31"/>
      <c r="C133" s="1"/>
      <c r="D133" s="1"/>
      <c r="E133" s="15"/>
      <c r="F133" s="201" t="s">
        <v>25</v>
      </c>
      <c r="G133" s="201"/>
      <c r="H133" s="37"/>
      <c r="I133" s="37"/>
      <c r="J133" s="37"/>
      <c r="L133" s="15"/>
      <c r="M133" s="15"/>
    </row>
    <row r="134" spans="2:12" ht="12.75">
      <c r="B134" s="1"/>
      <c r="F134" s="106" t="s">
        <v>290</v>
      </c>
      <c r="G134" s="106" t="s">
        <v>143</v>
      </c>
      <c r="H134" s="14"/>
      <c r="I134" s="37"/>
      <c r="J134" s="14"/>
      <c r="L134" s="14"/>
    </row>
    <row r="135" spans="2:12" ht="12.75">
      <c r="B135" s="1"/>
      <c r="F135" s="46" t="s">
        <v>1</v>
      </c>
      <c r="G135" s="47" t="s">
        <v>1</v>
      </c>
      <c r="H135" s="14"/>
      <c r="I135" s="37"/>
      <c r="J135" s="14"/>
      <c r="L135" s="46"/>
    </row>
    <row r="136" spans="2:12" ht="12.75">
      <c r="B136" s="1" t="s">
        <v>74</v>
      </c>
      <c r="F136" s="64">
        <v>4579383</v>
      </c>
      <c r="G136" s="16">
        <v>3052030</v>
      </c>
      <c r="H136" s="16"/>
      <c r="I136" s="37"/>
      <c r="J136" s="16"/>
      <c r="L136" s="16"/>
    </row>
    <row r="137" spans="2:12" ht="12.75">
      <c r="B137" s="1" t="s">
        <v>101</v>
      </c>
      <c r="F137" s="63">
        <v>3067684</v>
      </c>
      <c r="G137" s="16">
        <v>5690531</v>
      </c>
      <c r="H137" s="16"/>
      <c r="I137" s="37"/>
      <c r="J137" s="16"/>
      <c r="L137" s="16"/>
    </row>
    <row r="138" spans="2:12" ht="12.75">
      <c r="B138" s="1" t="s">
        <v>102</v>
      </c>
      <c r="F138" s="64">
        <v>-1312571</v>
      </c>
      <c r="G138" s="16">
        <v>-2207525</v>
      </c>
      <c r="H138" s="16"/>
      <c r="I138" s="37"/>
      <c r="J138" s="16"/>
      <c r="L138" s="16"/>
    </row>
    <row r="139" spans="2:12" ht="12.75">
      <c r="B139" s="1" t="s">
        <v>43</v>
      </c>
      <c r="F139" s="64">
        <v>0</v>
      </c>
      <c r="G139" s="16">
        <v>-323653</v>
      </c>
      <c r="H139" s="16"/>
      <c r="I139" s="37"/>
      <c r="J139" s="16"/>
      <c r="L139" s="16"/>
    </row>
    <row r="140" spans="2:12" ht="12.75">
      <c r="B140" s="1" t="s">
        <v>45</v>
      </c>
      <c r="F140" s="64">
        <v>-809428</v>
      </c>
      <c r="G140" s="16">
        <v>-1058667</v>
      </c>
      <c r="H140" s="16"/>
      <c r="I140" s="37"/>
      <c r="J140" s="16"/>
      <c r="L140" s="16"/>
    </row>
    <row r="141" spans="2:12" ht="12.75">
      <c r="B141" s="1" t="s">
        <v>126</v>
      </c>
      <c r="F141" s="64">
        <v>-366594</v>
      </c>
      <c r="G141" s="16">
        <v>-573333</v>
      </c>
      <c r="H141" s="16"/>
      <c r="I141" s="37"/>
      <c r="J141" s="16"/>
      <c r="L141" s="16"/>
    </row>
    <row r="142" spans="2:12" ht="12.75">
      <c r="B142" s="1" t="s">
        <v>138</v>
      </c>
      <c r="F142" s="64">
        <v>1190</v>
      </c>
      <c r="G142" s="16">
        <v>0</v>
      </c>
      <c r="H142" s="16"/>
      <c r="I142" s="37"/>
      <c r="J142" s="16"/>
      <c r="L142" s="16"/>
    </row>
    <row r="143" spans="2:12" ht="13.5" thickBot="1">
      <c r="B143" s="1" t="s">
        <v>300</v>
      </c>
      <c r="F143" s="70">
        <f>SUM(F136:F142)</f>
        <v>5159664</v>
      </c>
      <c r="G143" s="48">
        <f>SUM(G136:G142)</f>
        <v>4579383</v>
      </c>
      <c r="H143" s="16"/>
      <c r="I143" s="37"/>
      <c r="J143" s="16"/>
      <c r="L143" s="48"/>
    </row>
    <row r="144" spans="2:12" ht="12.75">
      <c r="B144" s="1"/>
      <c r="C144" s="64"/>
      <c r="D144" s="16"/>
      <c r="E144" s="16"/>
      <c r="F144" s="64"/>
      <c r="G144" s="16"/>
      <c r="H144" s="16"/>
      <c r="I144" s="37"/>
      <c r="J144" s="16"/>
      <c r="L144" s="16"/>
    </row>
    <row r="145" spans="2:12" ht="12.75">
      <c r="B145" s="31" t="s">
        <v>213</v>
      </c>
      <c r="C145" s="64"/>
      <c r="D145" s="16"/>
      <c r="E145" s="16"/>
      <c r="F145" s="64"/>
      <c r="G145" s="16"/>
      <c r="H145" s="16"/>
      <c r="I145" s="37"/>
      <c r="J145" s="16"/>
      <c r="L145" s="16"/>
    </row>
    <row r="146" spans="2:12" ht="12.75">
      <c r="B146" s="1"/>
      <c r="C146" s="64"/>
      <c r="D146" s="16"/>
      <c r="E146" s="16"/>
      <c r="F146" s="64"/>
      <c r="G146" s="16"/>
      <c r="H146" s="16"/>
      <c r="I146" s="37"/>
      <c r="J146" s="16"/>
      <c r="L146" s="16"/>
    </row>
    <row r="147" spans="2:12" ht="12.75">
      <c r="B147" s="1" t="s">
        <v>214</v>
      </c>
      <c r="C147" s="64"/>
      <c r="D147" s="16"/>
      <c r="E147" s="16"/>
      <c r="F147" s="64">
        <v>1184131</v>
      </c>
      <c r="G147" s="16">
        <v>1488766</v>
      </c>
      <c r="H147" s="16"/>
      <c r="I147" s="37"/>
      <c r="J147" s="16"/>
      <c r="L147" s="16"/>
    </row>
    <row r="148" spans="2:12" ht="12.75">
      <c r="B148" s="1" t="s">
        <v>215</v>
      </c>
      <c r="C148" s="64"/>
      <c r="D148" s="16"/>
      <c r="E148" s="16"/>
      <c r="F148" s="64">
        <v>570323</v>
      </c>
      <c r="G148" s="16">
        <v>613103</v>
      </c>
      <c r="H148" s="16"/>
      <c r="I148" s="37"/>
      <c r="J148" s="16"/>
      <c r="L148" s="16"/>
    </row>
    <row r="149" spans="2:12" ht="12.75">
      <c r="B149" s="1" t="s">
        <v>216</v>
      </c>
      <c r="C149" s="64"/>
      <c r="D149" s="16"/>
      <c r="E149" s="16"/>
      <c r="F149" s="64">
        <v>3405210</v>
      </c>
      <c r="G149" s="16">
        <v>2477514</v>
      </c>
      <c r="H149" s="16"/>
      <c r="I149" s="37"/>
      <c r="J149" s="16"/>
      <c r="L149" s="16"/>
    </row>
    <row r="150" spans="2:12" ht="12.75">
      <c r="B150" s="1"/>
      <c r="C150" s="64"/>
      <c r="D150" s="16"/>
      <c r="E150" s="16"/>
      <c r="F150" s="64"/>
      <c r="G150" s="16"/>
      <c r="H150" s="16"/>
      <c r="I150" s="37"/>
      <c r="J150" s="16"/>
      <c r="L150" s="16"/>
    </row>
    <row r="151" spans="2:12" ht="13.5" thickBot="1">
      <c r="B151" s="1" t="s">
        <v>300</v>
      </c>
      <c r="C151" s="64"/>
      <c r="D151" s="16"/>
      <c r="E151" s="16"/>
      <c r="F151" s="70">
        <f>SUM(F147:F150)</f>
        <v>5159664</v>
      </c>
      <c r="G151" s="48">
        <f>SUM(G147:G150)</f>
        <v>4579383</v>
      </c>
      <c r="H151" s="16"/>
      <c r="I151" s="37"/>
      <c r="J151" s="16"/>
      <c r="L151" s="48"/>
    </row>
    <row r="152" spans="2:12" ht="12.75">
      <c r="B152" s="1"/>
      <c r="C152" s="63"/>
      <c r="D152" s="15"/>
      <c r="E152" s="15"/>
      <c r="F152" s="15"/>
      <c r="G152" s="15"/>
      <c r="H152" s="16"/>
      <c r="I152" s="37"/>
      <c r="J152" s="16"/>
      <c r="L152" s="15"/>
    </row>
    <row r="153" spans="2:12" ht="12.75">
      <c r="B153" s="1" t="s">
        <v>218</v>
      </c>
      <c r="C153" s="63"/>
      <c r="D153" s="15"/>
      <c r="E153" s="15"/>
      <c r="F153" s="63">
        <f>F129-F185-F198</f>
        <v>45324244</v>
      </c>
      <c r="G153" s="15">
        <f>G129-G185-G198</f>
        <v>42922867</v>
      </c>
      <c r="H153" s="16"/>
      <c r="I153" s="37"/>
      <c r="J153" s="16"/>
      <c r="L153" s="15"/>
    </row>
    <row r="154" spans="2:12" ht="12.75">
      <c r="B154" s="1" t="s">
        <v>217</v>
      </c>
      <c r="C154" s="63"/>
      <c r="D154" s="15"/>
      <c r="E154" s="15"/>
      <c r="F154" s="63">
        <f>F143-F185-F198</f>
        <v>3130350</v>
      </c>
      <c r="G154" s="15">
        <f>G143-G185-G198</f>
        <v>2896337</v>
      </c>
      <c r="H154" s="16"/>
      <c r="I154" s="37"/>
      <c r="J154" s="16"/>
      <c r="L154" s="15"/>
    </row>
    <row r="155" spans="2:12" ht="12.75">
      <c r="B155" s="1" t="s">
        <v>75</v>
      </c>
      <c r="C155" s="105"/>
      <c r="D155" s="86"/>
      <c r="E155" s="105"/>
      <c r="F155" s="105">
        <f>F154/F153</f>
        <v>0.06906568590531813</v>
      </c>
      <c r="G155" s="148">
        <f>G154/G153</f>
        <v>0.06747771531663996</v>
      </c>
      <c r="H155" s="193"/>
      <c r="I155" s="37"/>
      <c r="J155" s="86"/>
      <c r="L155" s="86"/>
    </row>
    <row r="156" spans="2:13" ht="12.75">
      <c r="B156" s="1"/>
      <c r="C156" s="87"/>
      <c r="D156" s="15"/>
      <c r="E156" s="15"/>
      <c r="F156" s="15"/>
      <c r="G156" s="15"/>
      <c r="H156" s="15"/>
      <c r="I156" s="15"/>
      <c r="J156" s="15"/>
      <c r="K156" s="15"/>
      <c r="L156" s="15"/>
      <c r="M156" s="15"/>
    </row>
    <row r="157" spans="2:13" ht="12.75">
      <c r="B157" s="1"/>
      <c r="C157" s="16"/>
      <c r="D157" s="15"/>
      <c r="E157" s="16"/>
      <c r="F157" s="15"/>
      <c r="G157" s="16"/>
      <c r="H157" s="15"/>
      <c r="I157" s="15"/>
      <c r="J157" s="15"/>
      <c r="K157" s="15"/>
      <c r="L157" s="15"/>
      <c r="M157" s="16"/>
    </row>
    <row r="158" spans="2:13" ht="12.75">
      <c r="B158" s="31" t="s">
        <v>103</v>
      </c>
      <c r="C158" s="15"/>
      <c r="D158" s="15"/>
      <c r="E158" s="15"/>
      <c r="F158" s="15"/>
      <c r="G158" s="15"/>
      <c r="H158" s="15"/>
      <c r="I158" s="15"/>
      <c r="J158" s="15"/>
      <c r="K158" s="15"/>
      <c r="L158" s="15"/>
      <c r="M158" s="15"/>
    </row>
    <row r="159" spans="2:13" ht="12.75">
      <c r="B159" s="1"/>
      <c r="C159" s="15"/>
      <c r="D159" s="15"/>
      <c r="E159" s="15"/>
      <c r="F159" s="15"/>
      <c r="G159" s="15"/>
      <c r="H159" s="15"/>
      <c r="I159" s="15"/>
      <c r="J159" s="15"/>
      <c r="K159" s="15"/>
      <c r="L159" s="15"/>
      <c r="M159" s="15"/>
    </row>
    <row r="160" spans="2:13" ht="12.75">
      <c r="B160" s="1"/>
      <c r="C160" s="15"/>
      <c r="D160" s="15"/>
      <c r="E160" s="15"/>
      <c r="F160" s="15"/>
      <c r="G160" s="15"/>
      <c r="H160" s="15"/>
      <c r="I160" s="15"/>
      <c r="J160" s="15"/>
      <c r="K160" s="15"/>
      <c r="L160" s="15"/>
      <c r="M160" s="15"/>
    </row>
    <row r="161" spans="2:13" ht="12.75">
      <c r="B161" s="1"/>
      <c r="C161" s="15"/>
      <c r="D161" s="15"/>
      <c r="E161" s="15"/>
      <c r="F161" s="15"/>
      <c r="G161" s="15"/>
      <c r="H161" s="15"/>
      <c r="I161" s="15"/>
      <c r="J161" s="15"/>
      <c r="K161" s="15"/>
      <c r="L161" s="15"/>
      <c r="M161" s="15"/>
    </row>
    <row r="162" spans="2:13" ht="12.75">
      <c r="B162" s="1"/>
      <c r="C162" s="15"/>
      <c r="D162" s="15"/>
      <c r="E162" s="15"/>
      <c r="F162" s="15"/>
      <c r="G162" s="15"/>
      <c r="H162" s="15"/>
      <c r="I162" s="15"/>
      <c r="J162" s="15"/>
      <c r="K162" s="15"/>
      <c r="L162" s="15"/>
      <c r="M162" s="15"/>
    </row>
    <row r="163" spans="2:13" ht="12.75">
      <c r="B163" s="1"/>
      <c r="C163" s="15"/>
      <c r="D163" s="15"/>
      <c r="E163" s="15"/>
      <c r="F163" s="201" t="s">
        <v>25</v>
      </c>
      <c r="G163" s="201"/>
      <c r="L163" s="15"/>
      <c r="M163" s="15"/>
    </row>
    <row r="164" spans="2:13" ht="12.75">
      <c r="B164" s="1"/>
      <c r="F164" s="106" t="s">
        <v>290</v>
      </c>
      <c r="G164" s="106" t="s">
        <v>143</v>
      </c>
      <c r="H164" s="14"/>
      <c r="I164" s="37"/>
      <c r="J164" s="14"/>
      <c r="K164" s="37"/>
      <c r="L164" s="14"/>
      <c r="M164" s="37"/>
    </row>
    <row r="165" spans="2:13" ht="12.75">
      <c r="B165" s="1"/>
      <c r="F165" s="46" t="s">
        <v>1</v>
      </c>
      <c r="G165" s="47" t="s">
        <v>1</v>
      </c>
      <c r="H165" s="14"/>
      <c r="I165" s="37"/>
      <c r="J165" s="14"/>
      <c r="K165" s="37"/>
      <c r="L165" s="14"/>
      <c r="M165" s="37"/>
    </row>
    <row r="166" spans="2:13" ht="12.75">
      <c r="B166" s="31" t="s">
        <v>122</v>
      </c>
      <c r="F166" s="16"/>
      <c r="G166" s="16"/>
      <c r="H166" s="16"/>
      <c r="I166" s="37"/>
      <c r="J166" s="16"/>
      <c r="K166" s="37"/>
      <c r="L166" s="16"/>
      <c r="M166" s="37"/>
    </row>
    <row r="167" spans="2:13" ht="12.75">
      <c r="B167" s="1" t="s">
        <v>74</v>
      </c>
      <c r="F167" s="64">
        <v>707959</v>
      </c>
      <c r="G167" s="16">
        <v>653234</v>
      </c>
      <c r="H167" s="16"/>
      <c r="I167" s="37"/>
      <c r="J167" s="16"/>
      <c r="K167" s="37"/>
      <c r="L167" s="16"/>
      <c r="M167" s="37"/>
    </row>
    <row r="168" spans="2:13" ht="12.75">
      <c r="B168" s="1" t="s">
        <v>104</v>
      </c>
      <c r="F168" s="64">
        <f>54933</f>
        <v>54933</v>
      </c>
      <c r="G168" s="16">
        <v>55741</v>
      </c>
      <c r="H168" s="16"/>
      <c r="I168" s="37"/>
      <c r="J168" s="16"/>
      <c r="K168" s="37"/>
      <c r="L168" s="16"/>
      <c r="M168" s="37"/>
    </row>
    <row r="169" spans="2:13" ht="12.75">
      <c r="B169" s="1" t="s">
        <v>40</v>
      </c>
      <c r="F169" s="64">
        <v>-1455</v>
      </c>
      <c r="G169" s="16">
        <v>0</v>
      </c>
      <c r="H169" s="16"/>
      <c r="I169" s="37"/>
      <c r="J169" s="16"/>
      <c r="K169" s="37"/>
      <c r="L169" s="16"/>
      <c r="M169" s="37"/>
    </row>
    <row r="170" spans="2:13" ht="12.75">
      <c r="B170" s="1" t="s">
        <v>41</v>
      </c>
      <c r="F170" s="64">
        <v>2438</v>
      </c>
      <c r="G170" s="16">
        <v>-1016</v>
      </c>
      <c r="H170" s="16"/>
      <c r="I170" s="37"/>
      <c r="J170" s="16"/>
      <c r="K170" s="37"/>
      <c r="L170" s="16"/>
      <c r="M170" s="37"/>
    </row>
    <row r="171" spans="2:13" ht="12.75">
      <c r="B171" s="1" t="s">
        <v>138</v>
      </c>
      <c r="F171" s="64">
        <v>-2445</v>
      </c>
      <c r="G171" s="16">
        <v>0</v>
      </c>
      <c r="H171" s="16"/>
      <c r="I171" s="37"/>
      <c r="J171" s="16"/>
      <c r="K171" s="37"/>
      <c r="L171" s="16"/>
      <c r="M171" s="37"/>
    </row>
    <row r="172" spans="2:13" ht="13.5" thickBot="1">
      <c r="B172" s="1" t="s">
        <v>300</v>
      </c>
      <c r="F172" s="70">
        <f>SUM(F167:F171)</f>
        <v>761430</v>
      </c>
      <c r="G172" s="48">
        <f>SUM(G167:G171)</f>
        <v>707959</v>
      </c>
      <c r="H172" s="16"/>
      <c r="I172" s="37"/>
      <c r="J172" s="16"/>
      <c r="K172" s="37"/>
      <c r="L172" s="16"/>
      <c r="M172" s="37"/>
    </row>
    <row r="173" spans="2:13" ht="12.75">
      <c r="B173" s="1"/>
      <c r="C173" s="64"/>
      <c r="D173" s="16"/>
      <c r="E173" s="16"/>
      <c r="F173" s="64"/>
      <c r="G173" s="16"/>
      <c r="H173" s="16"/>
      <c r="I173" s="37"/>
      <c r="J173" s="16"/>
      <c r="K173" s="37"/>
      <c r="L173" s="16"/>
      <c r="M173" s="37"/>
    </row>
    <row r="174" spans="2:13" ht="12.75">
      <c r="B174" s="1" t="s">
        <v>219</v>
      </c>
      <c r="C174" s="64"/>
      <c r="D174" s="16"/>
      <c r="E174" s="16"/>
      <c r="F174" s="153">
        <f>F172/F153</f>
        <v>0.016799618323473858</v>
      </c>
      <c r="G174" s="154">
        <f>G172/G153</f>
        <v>0.016493749124446882</v>
      </c>
      <c r="H174" s="16"/>
      <c r="I174" s="37"/>
      <c r="J174" s="16"/>
      <c r="K174" s="37"/>
      <c r="L174" s="16"/>
      <c r="M174" s="37"/>
    </row>
    <row r="175" spans="2:13" ht="12.75">
      <c r="B175" s="1"/>
      <c r="C175" s="64"/>
      <c r="D175" s="16"/>
      <c r="E175" s="16"/>
      <c r="F175" s="64"/>
      <c r="G175" s="16"/>
      <c r="H175" s="16"/>
      <c r="I175" s="37"/>
      <c r="J175" s="16"/>
      <c r="K175" s="37"/>
      <c r="L175" s="16"/>
      <c r="M175" s="37"/>
    </row>
    <row r="176" spans="2:13" ht="12.75">
      <c r="B176" s="31" t="s">
        <v>123</v>
      </c>
      <c r="C176" s="64"/>
      <c r="D176" s="16"/>
      <c r="E176" s="16"/>
      <c r="F176" s="64"/>
      <c r="G176" s="16"/>
      <c r="H176" s="16"/>
      <c r="I176" s="37"/>
      <c r="J176" s="16"/>
      <c r="K176" s="37"/>
      <c r="L176" s="16"/>
      <c r="M176" s="37"/>
    </row>
    <row r="177" spans="2:13" ht="12.75">
      <c r="B177" s="1" t="s">
        <v>74</v>
      </c>
      <c r="F177" s="64">
        <v>1276687</v>
      </c>
      <c r="G177" s="16">
        <v>870286</v>
      </c>
      <c r="H177" s="16"/>
      <c r="I177" s="37"/>
      <c r="J177" s="16"/>
      <c r="K177" s="37"/>
      <c r="L177" s="16"/>
      <c r="M177" s="37"/>
    </row>
    <row r="178" spans="2:13" ht="12.75">
      <c r="B178" s="1" t="s">
        <v>105</v>
      </c>
      <c r="F178" s="64">
        <v>769241</v>
      </c>
      <c r="G178" s="16">
        <v>899898</v>
      </c>
      <c r="H178" s="16"/>
      <c r="I178" s="37"/>
      <c r="J178" s="16"/>
      <c r="K178" s="37"/>
      <c r="L178" s="16"/>
      <c r="M178" s="37"/>
    </row>
    <row r="179" spans="2:13" ht="12.75">
      <c r="B179" s="1" t="s">
        <v>42</v>
      </c>
      <c r="F179" s="64">
        <v>1455</v>
      </c>
      <c r="G179" s="16">
        <v>0</v>
      </c>
      <c r="H179" s="16"/>
      <c r="I179" s="37"/>
      <c r="J179" s="16"/>
      <c r="K179" s="37"/>
      <c r="L179" s="16"/>
      <c r="M179" s="37"/>
    </row>
    <row r="180" spans="2:13" ht="12.75">
      <c r="B180" s="1" t="s">
        <v>43</v>
      </c>
      <c r="F180" s="64">
        <v>0</v>
      </c>
      <c r="G180" s="16">
        <v>-3750</v>
      </c>
      <c r="H180" s="16"/>
      <c r="I180" s="37"/>
      <c r="J180" s="16"/>
      <c r="K180" s="37"/>
      <c r="L180" s="16"/>
      <c r="M180" s="37"/>
    </row>
    <row r="181" spans="2:13" ht="12.75">
      <c r="B181" s="1" t="s">
        <v>44</v>
      </c>
      <c r="F181" s="64">
        <v>-239115</v>
      </c>
      <c r="G181" s="16">
        <v>-61040</v>
      </c>
      <c r="H181" s="16"/>
      <c r="I181" s="37"/>
      <c r="J181" s="16"/>
      <c r="K181" s="37"/>
      <c r="L181" s="16"/>
      <c r="M181" s="37"/>
    </row>
    <row r="182" spans="2:13" ht="12.75">
      <c r="B182" s="1" t="s">
        <v>298</v>
      </c>
      <c r="F182" s="64">
        <v>-49700</v>
      </c>
      <c r="G182" s="16">
        <v>0</v>
      </c>
      <c r="H182" s="16"/>
      <c r="I182" s="37"/>
      <c r="J182" s="16"/>
      <c r="K182" s="37"/>
      <c r="L182" s="16"/>
      <c r="M182" s="37"/>
    </row>
    <row r="183" spans="2:13" ht="12.75">
      <c r="B183" s="1" t="s">
        <v>126</v>
      </c>
      <c r="F183" s="64">
        <v>-246910</v>
      </c>
      <c r="G183" s="16">
        <v>-428991</v>
      </c>
      <c r="H183" s="16"/>
      <c r="I183" s="37"/>
      <c r="J183" s="16"/>
      <c r="K183" s="37"/>
      <c r="L183" s="16"/>
      <c r="M183" s="37"/>
    </row>
    <row r="184" spans="2:13" ht="12.75">
      <c r="B184" s="1" t="s">
        <v>41</v>
      </c>
      <c r="F184" s="64">
        <v>-549</v>
      </c>
      <c r="G184" s="16">
        <v>284</v>
      </c>
      <c r="H184" s="16"/>
      <c r="I184" s="37"/>
      <c r="J184" s="16"/>
      <c r="K184" s="37"/>
      <c r="L184" s="16"/>
      <c r="M184" s="37"/>
    </row>
    <row r="185" spans="2:13" ht="13.5" thickBot="1">
      <c r="B185" s="1" t="s">
        <v>300</v>
      </c>
      <c r="F185" s="70">
        <f>SUM(F177:F184)</f>
        <v>1511109</v>
      </c>
      <c r="G185" s="48">
        <f>SUM(G177:G184)</f>
        <v>1276687</v>
      </c>
      <c r="H185" s="16"/>
      <c r="I185" s="37"/>
      <c r="J185" s="16"/>
      <c r="K185" s="37"/>
      <c r="L185" s="16"/>
      <c r="M185" s="37"/>
    </row>
    <row r="186" spans="2:13" ht="12.75">
      <c r="B186" s="1"/>
      <c r="C186" s="64"/>
      <c r="D186" s="16"/>
      <c r="E186" s="16"/>
      <c r="F186" s="64"/>
      <c r="G186" s="16"/>
      <c r="H186" s="16"/>
      <c r="I186" s="37"/>
      <c r="J186" s="16"/>
      <c r="K186" s="37"/>
      <c r="L186" s="16"/>
      <c r="M186" s="37"/>
    </row>
    <row r="187" spans="2:13" ht="12.75">
      <c r="B187" s="1"/>
      <c r="C187" s="64"/>
      <c r="D187" s="16"/>
      <c r="E187" s="16"/>
      <c r="F187" s="64"/>
      <c r="G187" s="16"/>
      <c r="H187" s="16"/>
      <c r="I187" s="37"/>
      <c r="J187" s="16"/>
      <c r="K187" s="37"/>
      <c r="L187" s="16"/>
      <c r="M187" s="37"/>
    </row>
    <row r="188" spans="2:13" ht="12.75">
      <c r="B188" s="31" t="s">
        <v>124</v>
      </c>
      <c r="C188" s="64"/>
      <c r="D188" s="16"/>
      <c r="E188" s="16"/>
      <c r="F188" s="64"/>
      <c r="G188" s="16"/>
      <c r="H188" s="16"/>
      <c r="I188" s="37"/>
      <c r="J188" s="16"/>
      <c r="K188" s="37"/>
      <c r="L188" s="16"/>
      <c r="M188" s="37"/>
    </row>
    <row r="189" spans="2:13" ht="12.75">
      <c r="B189" s="1" t="s">
        <v>74</v>
      </c>
      <c r="F189" s="64">
        <v>406359</v>
      </c>
      <c r="G189" s="16">
        <v>304455</v>
      </c>
      <c r="H189" s="16"/>
      <c r="I189" s="37"/>
      <c r="J189" s="16"/>
      <c r="K189" s="37"/>
      <c r="L189" s="16"/>
      <c r="M189" s="37"/>
    </row>
    <row r="190" spans="2:13" ht="12.75">
      <c r="B190" s="1" t="s">
        <v>105</v>
      </c>
      <c r="F190" s="64">
        <v>344932</v>
      </c>
      <c r="G190" s="16">
        <v>550317</v>
      </c>
      <c r="H190" s="16"/>
      <c r="I190" s="37"/>
      <c r="J190" s="16"/>
      <c r="K190" s="37"/>
      <c r="L190" s="16"/>
      <c r="M190" s="37"/>
    </row>
    <row r="191" spans="2:13" ht="12.75">
      <c r="B191" s="1" t="s">
        <v>43</v>
      </c>
      <c r="F191" s="64">
        <v>0</v>
      </c>
      <c r="G191" s="16">
        <v>-38697</v>
      </c>
      <c r="H191" s="16"/>
      <c r="I191" s="37"/>
      <c r="J191" s="16"/>
      <c r="K191" s="37"/>
      <c r="L191" s="16"/>
      <c r="M191" s="37"/>
    </row>
    <row r="192" spans="2:13" ht="12.75">
      <c r="B192" s="1" t="s">
        <v>44</v>
      </c>
      <c r="F192" s="64">
        <v>-138670</v>
      </c>
      <c r="G192" s="16">
        <v>-128407</v>
      </c>
      <c r="H192" s="16"/>
      <c r="I192" s="37"/>
      <c r="J192" s="16"/>
      <c r="K192" s="37"/>
      <c r="L192" s="16"/>
      <c r="M192" s="37"/>
    </row>
    <row r="193" spans="2:13" ht="12.75">
      <c r="B193" s="1" t="s">
        <v>106</v>
      </c>
      <c r="F193" s="64"/>
      <c r="G193" s="16"/>
      <c r="H193" s="16"/>
      <c r="I193" s="37"/>
      <c r="J193" s="16"/>
      <c r="K193" s="37"/>
      <c r="L193" s="16"/>
      <c r="M193" s="37"/>
    </row>
    <row r="194" spans="2:13" ht="12.75">
      <c r="B194" s="1" t="s">
        <v>136</v>
      </c>
      <c r="F194" s="64">
        <v>0</v>
      </c>
      <c r="G194" s="16">
        <v>-28104</v>
      </c>
      <c r="H194" s="16"/>
      <c r="I194" s="37"/>
      <c r="J194" s="16"/>
      <c r="K194" s="37"/>
      <c r="L194" s="16"/>
      <c r="M194" s="37"/>
    </row>
    <row r="195" spans="2:13" ht="12.75">
      <c r="B195" s="1" t="s">
        <v>126</v>
      </c>
      <c r="F195" s="64">
        <v>-72648</v>
      </c>
      <c r="G195" s="16">
        <v>-253205</v>
      </c>
      <c r="H195" s="16"/>
      <c r="I195" s="37"/>
      <c r="J195" s="16"/>
      <c r="K195" s="37"/>
      <c r="L195" s="16"/>
      <c r="M195" s="37"/>
    </row>
    <row r="196" spans="2:13" ht="12.75">
      <c r="B196" s="1" t="s">
        <v>138</v>
      </c>
      <c r="F196" s="64">
        <v>-21768</v>
      </c>
      <c r="G196" s="16">
        <v>0</v>
      </c>
      <c r="H196" s="16"/>
      <c r="I196" s="37"/>
      <c r="J196" s="16"/>
      <c r="K196" s="37"/>
      <c r="L196" s="16"/>
      <c r="M196" s="37"/>
    </row>
    <row r="197" spans="2:13" ht="12.75">
      <c r="B197" s="1" t="s">
        <v>41</v>
      </c>
      <c r="F197" s="64">
        <v>0</v>
      </c>
      <c r="G197" s="16">
        <v>0</v>
      </c>
      <c r="H197" s="16"/>
      <c r="I197" s="37"/>
      <c r="J197" s="16"/>
      <c r="K197" s="37"/>
      <c r="L197" s="16"/>
      <c r="M197" s="37"/>
    </row>
    <row r="198" spans="2:13" ht="13.5" thickBot="1">
      <c r="B198" s="1" t="s">
        <v>300</v>
      </c>
      <c r="F198" s="70">
        <f>SUM(F189:F197)</f>
        <v>518205</v>
      </c>
      <c r="G198" s="48">
        <f>SUM(G189:G197)</f>
        <v>406359</v>
      </c>
      <c r="H198" s="16"/>
      <c r="I198" s="37"/>
      <c r="J198" s="16"/>
      <c r="K198" s="37"/>
      <c r="L198" s="16"/>
      <c r="M198" s="37"/>
    </row>
    <row r="199" spans="2:13" ht="12.75">
      <c r="B199" s="1"/>
      <c r="F199" s="16"/>
      <c r="G199" s="16"/>
      <c r="H199" s="16"/>
      <c r="I199" s="16"/>
      <c r="J199" s="16"/>
      <c r="K199" s="16"/>
      <c r="L199" s="16"/>
      <c r="M199" s="16"/>
    </row>
    <row r="200" spans="2:13" ht="12.75">
      <c r="B200" s="1"/>
      <c r="C200" s="15"/>
      <c r="D200" s="15"/>
      <c r="E200" s="15"/>
      <c r="F200" s="15"/>
      <c r="G200" s="15"/>
      <c r="H200" s="16"/>
      <c r="I200" s="16"/>
      <c r="J200" s="16"/>
      <c r="K200" s="16"/>
      <c r="L200" s="16"/>
      <c r="M200" s="16"/>
    </row>
    <row r="201" spans="2:13" ht="12.75">
      <c r="B201" s="31" t="s">
        <v>107</v>
      </c>
      <c r="C201" s="15"/>
      <c r="D201" s="15"/>
      <c r="E201" s="15"/>
      <c r="F201" s="15"/>
      <c r="G201" s="15"/>
      <c r="H201" s="16"/>
      <c r="I201" s="16"/>
      <c r="J201" s="16"/>
      <c r="K201" s="16"/>
      <c r="L201" s="16"/>
      <c r="M201" s="16"/>
    </row>
    <row r="202" spans="2:13" ht="12.75">
      <c r="B202" s="31"/>
      <c r="C202" s="15"/>
      <c r="D202" s="15"/>
      <c r="E202" s="15"/>
      <c r="F202" s="201" t="s">
        <v>25</v>
      </c>
      <c r="G202" s="201"/>
      <c r="H202" s="37"/>
      <c r="I202" s="37"/>
      <c r="J202" s="37"/>
      <c r="K202" s="37"/>
      <c r="L202" s="16"/>
      <c r="M202" s="16"/>
    </row>
    <row r="203" spans="2:13" ht="12.75">
      <c r="B203" s="1"/>
      <c r="F203" s="106" t="s">
        <v>290</v>
      </c>
      <c r="G203" s="106" t="s">
        <v>143</v>
      </c>
      <c r="H203" s="14"/>
      <c r="I203" s="37"/>
      <c r="J203" s="14"/>
      <c r="K203" s="37"/>
      <c r="L203" s="14"/>
      <c r="M203" s="37"/>
    </row>
    <row r="204" spans="2:13" ht="12.75">
      <c r="B204" s="1"/>
      <c r="F204" s="46" t="s">
        <v>1</v>
      </c>
      <c r="G204" s="47" t="s">
        <v>1</v>
      </c>
      <c r="H204" s="14"/>
      <c r="I204" s="37"/>
      <c r="J204" s="14"/>
      <c r="K204" s="37"/>
      <c r="L204" s="14"/>
      <c r="M204" s="37"/>
    </row>
    <row r="205" spans="2:13" ht="12.75">
      <c r="B205" s="1" t="s">
        <v>74</v>
      </c>
      <c r="F205" s="64">
        <v>139329</v>
      </c>
      <c r="G205" s="16">
        <v>216240</v>
      </c>
      <c r="H205" s="16"/>
      <c r="I205" s="37"/>
      <c r="J205" s="16"/>
      <c r="K205" s="37"/>
      <c r="L205" s="16"/>
      <c r="M205" s="37"/>
    </row>
    <row r="206" spans="2:13" ht="12.75">
      <c r="B206" s="1" t="s">
        <v>140</v>
      </c>
      <c r="F206" s="64">
        <v>-63000</v>
      </c>
      <c r="G206" s="16">
        <v>-76911</v>
      </c>
      <c r="H206" s="16"/>
      <c r="I206" s="37"/>
      <c r="J206" s="16"/>
      <c r="K206" s="37"/>
      <c r="L206" s="16"/>
      <c r="M206" s="37"/>
    </row>
    <row r="207" spans="2:13" ht="12.75">
      <c r="B207" s="1" t="s">
        <v>141</v>
      </c>
      <c r="F207" s="64">
        <v>0</v>
      </c>
      <c r="G207" s="16"/>
      <c r="H207" s="16"/>
      <c r="I207" s="37"/>
      <c r="J207" s="16"/>
      <c r="K207" s="37"/>
      <c r="L207" s="16"/>
      <c r="M207" s="37"/>
    </row>
    <row r="208" spans="2:13" ht="13.5" thickBot="1">
      <c r="B208" s="1" t="s">
        <v>300</v>
      </c>
      <c r="F208" s="70">
        <f>SUM(F205:F206)</f>
        <v>76329</v>
      </c>
      <c r="G208" s="48">
        <f>SUM(G205:G207)</f>
        <v>139329</v>
      </c>
      <c r="H208" s="16"/>
      <c r="I208" s="37"/>
      <c r="J208" s="16"/>
      <c r="K208" s="37"/>
      <c r="L208" s="16"/>
      <c r="M208" s="37"/>
    </row>
    <row r="209" spans="8:13" ht="12.75">
      <c r="H209" s="37"/>
      <c r="I209" s="37"/>
      <c r="J209" s="37"/>
      <c r="K209" s="37"/>
      <c r="L209" s="37"/>
      <c r="M209" s="37"/>
    </row>
    <row r="210" spans="8:13" ht="12.75">
      <c r="H210" s="28"/>
      <c r="I210" s="28"/>
      <c r="J210" s="37"/>
      <c r="K210" s="37"/>
      <c r="L210" s="37"/>
      <c r="M210" s="37"/>
    </row>
    <row r="211" spans="8:13" ht="12.75">
      <c r="H211" s="28"/>
      <c r="I211" s="28"/>
      <c r="J211" s="37"/>
      <c r="K211" s="37"/>
      <c r="L211" s="37"/>
      <c r="M211" s="37"/>
    </row>
    <row r="212" spans="8:9" ht="12.75">
      <c r="H212" s="1"/>
      <c r="I212" s="1"/>
    </row>
    <row r="213" spans="8:9" ht="12.75">
      <c r="H213" s="1"/>
      <c r="I213" s="1"/>
    </row>
    <row r="214" spans="8:9" ht="12.75">
      <c r="H214" s="1"/>
      <c r="I214" s="1"/>
    </row>
    <row r="215" spans="8:9" ht="12.75">
      <c r="H215" s="1"/>
      <c r="I215" s="1"/>
    </row>
    <row r="216" spans="8:9" ht="12.75">
      <c r="H216" s="1"/>
      <c r="I216" s="1"/>
    </row>
    <row r="217" spans="8:9" ht="12.75">
      <c r="H217" s="1"/>
      <c r="I217" s="1"/>
    </row>
    <row r="218" spans="8:9" ht="12.75">
      <c r="H218" s="1"/>
      <c r="I218" s="1"/>
    </row>
    <row r="219" spans="8:9" ht="12.75">
      <c r="H219" s="1"/>
      <c r="I219" s="1"/>
    </row>
    <row r="220" spans="8:9" ht="12.75">
      <c r="H220" s="1"/>
      <c r="I220" s="1"/>
    </row>
    <row r="221" spans="8:9" ht="12.75">
      <c r="H221" s="1"/>
      <c r="I221" s="1"/>
    </row>
    <row r="222" spans="8:9" ht="12.75">
      <c r="H222" s="1"/>
      <c r="I222" s="1"/>
    </row>
    <row r="223" spans="8:9" ht="12.75">
      <c r="H223" s="1"/>
      <c r="I223" s="1"/>
    </row>
    <row r="224" spans="8:9" ht="12.75">
      <c r="H224" s="1"/>
      <c r="I224" s="1"/>
    </row>
    <row r="225" spans="8:9" ht="12.75">
      <c r="H225" s="1"/>
      <c r="I225" s="1"/>
    </row>
    <row r="226" spans="8:9" ht="12.75">
      <c r="H226" s="1"/>
      <c r="I226" s="1"/>
    </row>
    <row r="227" spans="8:9" ht="12.75">
      <c r="H227" s="1"/>
      <c r="I227" s="1"/>
    </row>
    <row r="228" spans="8:9" ht="12.75">
      <c r="H228" s="1"/>
      <c r="I228" s="1"/>
    </row>
    <row r="229" spans="8:9" ht="12.75">
      <c r="H229" s="1"/>
      <c r="I229" s="1"/>
    </row>
    <row r="230" spans="8:9" ht="12.75">
      <c r="H230" s="1"/>
      <c r="I230" s="1"/>
    </row>
    <row r="231" spans="8:9" ht="12.75">
      <c r="H231" s="1"/>
      <c r="I231" s="1"/>
    </row>
    <row r="232" spans="8:9" ht="12.75">
      <c r="H232" s="1"/>
      <c r="I232" s="1"/>
    </row>
    <row r="233" spans="8:9" ht="12.75">
      <c r="H233" s="1"/>
      <c r="I233" s="1"/>
    </row>
    <row r="234" spans="8:9" ht="12.75">
      <c r="H234" s="1"/>
      <c r="I234" s="1"/>
    </row>
    <row r="235" spans="8:9" ht="12.75">
      <c r="H235" s="1"/>
      <c r="I235" s="1"/>
    </row>
    <row r="236" spans="8:9" ht="12.75">
      <c r="H236" s="1"/>
      <c r="I236" s="1"/>
    </row>
    <row r="237" spans="8:9" ht="12.75">
      <c r="H237" s="1"/>
      <c r="I237" s="1"/>
    </row>
    <row r="238" spans="8:9" ht="12.75">
      <c r="H238" s="1"/>
      <c r="I238" s="1"/>
    </row>
    <row r="239" spans="8:9" ht="12.75">
      <c r="H239" s="1"/>
      <c r="I239" s="1"/>
    </row>
    <row r="240" spans="8:9" ht="12.75">
      <c r="H240" s="1"/>
      <c r="I240" s="1"/>
    </row>
    <row r="241" spans="8:9" ht="12.75">
      <c r="H241" s="1"/>
      <c r="I241" s="1"/>
    </row>
    <row r="242" spans="8:9" ht="12.75">
      <c r="H242" s="1"/>
      <c r="I242" s="1"/>
    </row>
    <row r="243" spans="8:9" ht="12.75">
      <c r="H243" s="1"/>
      <c r="I243" s="1"/>
    </row>
    <row r="244" spans="8:9" ht="12.75">
      <c r="H244" s="1"/>
      <c r="I244" s="1"/>
    </row>
  </sheetData>
  <mergeCells count="8">
    <mergeCell ref="F202:G202"/>
    <mergeCell ref="F163:G163"/>
    <mergeCell ref="C68:D68"/>
    <mergeCell ref="E68:G68"/>
    <mergeCell ref="F108:G108"/>
    <mergeCell ref="F133:G133"/>
    <mergeCell ref="C88:D88"/>
    <mergeCell ref="E88:G88"/>
  </mergeCells>
  <printOptions horizontalCentered="1"/>
  <pageMargins left="0.49" right="0.42" top="0.75" bottom="0.75" header="0.55" footer="0.5"/>
  <pageSetup firstPageNumber="1" useFirstPageNumber="1" horizontalDpi="600" verticalDpi="600" orientation="portrait" paperSize="9" scale="85" r:id="rId2"/>
  <headerFooter alignWithMargins="0">
    <oddFooter>&amp;C&amp;P+8</oddFooter>
  </headerFooter>
  <rowBreaks count="3" manualBreakCount="3">
    <brk id="53" max="9" man="1"/>
    <brk id="130" max="6" man="1"/>
    <brk id="186" max="6" man="1"/>
  </rowBreaks>
  <colBreaks count="1" manualBreakCount="1">
    <brk id="7" min="66" max="20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B5" sqref="B5"/>
    </sheetView>
  </sheetViews>
  <sheetFormatPr defaultColWidth="9.140625" defaultRowHeight="12.75"/>
  <cols>
    <col min="1" max="1" width="4.421875" style="0" customWidth="1"/>
    <col min="2" max="2" width="30.7109375" style="0" customWidth="1"/>
    <col min="3" max="3" width="11.28125" style="0" bestFit="1" customWidth="1"/>
    <col min="4" max="4" width="10.7109375" style="0" customWidth="1"/>
    <col min="5" max="5" width="10.00390625" style="0" customWidth="1"/>
    <col min="6" max="6" width="10.140625" style="0" customWidth="1"/>
    <col min="7" max="7" width="10.28125" style="0" bestFit="1" customWidth="1"/>
    <col min="8" max="8" width="11.28125" style="0" bestFit="1" customWidth="1"/>
    <col min="9" max="9" width="10.28125" style="0" bestFit="1" customWidth="1"/>
  </cols>
  <sheetData>
    <row r="1" spans="1:2" ht="12.75">
      <c r="A1" s="31" t="s">
        <v>376</v>
      </c>
      <c r="B1" s="31" t="s">
        <v>125</v>
      </c>
    </row>
    <row r="2" spans="1:2" ht="12.75">
      <c r="A2" s="31"/>
      <c r="B2" s="31"/>
    </row>
    <row r="3" spans="1:2" ht="12.75">
      <c r="A3" s="31"/>
      <c r="B3" s="31" t="s">
        <v>97</v>
      </c>
    </row>
    <row r="4" spans="1:2" ht="12.75">
      <c r="A4" s="31"/>
      <c r="B4" s="31" t="s">
        <v>108</v>
      </c>
    </row>
    <row r="5" spans="2:8" ht="12.75">
      <c r="B5" s="1"/>
      <c r="C5" s="1"/>
      <c r="D5" s="1"/>
      <c r="E5" s="1"/>
      <c r="F5" s="1"/>
      <c r="G5" s="1"/>
      <c r="H5" s="1"/>
    </row>
    <row r="6" spans="2:8" ht="12.75">
      <c r="B6" s="31" t="s">
        <v>25</v>
      </c>
      <c r="C6" s="1"/>
      <c r="D6" s="1"/>
      <c r="E6" s="1"/>
      <c r="F6" s="1"/>
      <c r="G6" s="1"/>
      <c r="H6" s="1"/>
    </row>
    <row r="7" spans="2:10" ht="12.75">
      <c r="B7" s="72"/>
      <c r="C7" s="118" t="s">
        <v>48</v>
      </c>
      <c r="D7" s="119" t="s">
        <v>63</v>
      </c>
      <c r="E7" s="119" t="s">
        <v>65</v>
      </c>
      <c r="F7" s="119" t="s">
        <v>67</v>
      </c>
      <c r="G7" s="119" t="s">
        <v>68</v>
      </c>
      <c r="H7" s="119" t="s">
        <v>69</v>
      </c>
      <c r="I7" s="135" t="s">
        <v>137</v>
      </c>
      <c r="J7" s="135" t="s">
        <v>197</v>
      </c>
    </row>
    <row r="8" spans="2:10" ht="12.75">
      <c r="B8" s="124" t="s">
        <v>109</v>
      </c>
      <c r="C8" s="120" t="s">
        <v>50</v>
      </c>
      <c r="D8" s="121" t="s">
        <v>64</v>
      </c>
      <c r="E8" s="121" t="s">
        <v>66</v>
      </c>
      <c r="F8" s="121" t="s">
        <v>66</v>
      </c>
      <c r="G8" s="121" t="s">
        <v>66</v>
      </c>
      <c r="H8" s="121" t="s">
        <v>70</v>
      </c>
      <c r="I8" s="136"/>
      <c r="J8" s="80" t="s">
        <v>198</v>
      </c>
    </row>
    <row r="9" spans="2:10" ht="12.75">
      <c r="B9" s="73"/>
      <c r="C9" s="122" t="s">
        <v>1</v>
      </c>
      <c r="D9" s="123" t="s">
        <v>1</v>
      </c>
      <c r="E9" s="123" t="s">
        <v>1</v>
      </c>
      <c r="F9" s="123" t="s">
        <v>1</v>
      </c>
      <c r="G9" s="123" t="s">
        <v>1</v>
      </c>
      <c r="H9" s="123" t="s">
        <v>1</v>
      </c>
      <c r="I9" s="123" t="s">
        <v>1</v>
      </c>
      <c r="J9" s="123" t="s">
        <v>199</v>
      </c>
    </row>
    <row r="10" spans="2:10" ht="12.75">
      <c r="B10" s="74"/>
      <c r="C10" s="120"/>
      <c r="D10" s="121"/>
      <c r="E10" s="121"/>
      <c r="F10" s="121"/>
      <c r="G10" s="121"/>
      <c r="H10" s="121"/>
      <c r="I10" s="137"/>
      <c r="J10" s="137"/>
    </row>
    <row r="11" spans="2:10" ht="12.75">
      <c r="B11" s="74" t="s">
        <v>58</v>
      </c>
      <c r="C11" s="52"/>
      <c r="D11" s="74"/>
      <c r="E11" s="74"/>
      <c r="F11" s="74"/>
      <c r="G11" s="74"/>
      <c r="H11" s="74"/>
      <c r="I11" s="136"/>
      <c r="J11" s="136"/>
    </row>
    <row r="12" spans="2:10" ht="12.75">
      <c r="B12" s="75" t="s">
        <v>59</v>
      </c>
      <c r="C12" s="76">
        <f>SUM(D12:I12)</f>
        <v>3137770</v>
      </c>
      <c r="D12" s="77">
        <v>327534</v>
      </c>
      <c r="E12" s="77">
        <v>465218</v>
      </c>
      <c r="F12" s="77">
        <v>600676</v>
      </c>
      <c r="G12" s="77">
        <v>470570</v>
      </c>
      <c r="H12" s="77">
        <v>1273772</v>
      </c>
      <c r="I12" s="138">
        <v>0</v>
      </c>
      <c r="J12" s="138">
        <v>0</v>
      </c>
    </row>
    <row r="13" spans="2:10" ht="12.75">
      <c r="B13" s="75" t="s">
        <v>60</v>
      </c>
      <c r="C13" s="76">
        <f>SUM(D13:I13)</f>
        <v>4790090</v>
      </c>
      <c r="D13" s="77">
        <v>1791060</v>
      </c>
      <c r="E13" s="77">
        <v>1387695</v>
      </c>
      <c r="F13" s="77">
        <v>1065833</v>
      </c>
      <c r="G13" s="77">
        <v>387880</v>
      </c>
      <c r="H13" s="77">
        <v>157622</v>
      </c>
      <c r="I13" s="138">
        <v>0</v>
      </c>
      <c r="J13" s="138">
        <v>0</v>
      </c>
    </row>
    <row r="14" spans="2:10" ht="12.75">
      <c r="B14" s="75" t="s">
        <v>61</v>
      </c>
      <c r="C14" s="76">
        <f>SUM(D14:I14)</f>
        <v>671780</v>
      </c>
      <c r="D14" s="77">
        <v>671780</v>
      </c>
      <c r="E14" s="77">
        <v>0</v>
      </c>
      <c r="F14" s="77">
        <v>0</v>
      </c>
      <c r="G14" s="77">
        <v>0</v>
      </c>
      <c r="H14" s="77">
        <v>0</v>
      </c>
      <c r="I14" s="138">
        <v>0</v>
      </c>
      <c r="J14" s="138">
        <v>0</v>
      </c>
    </row>
    <row r="15" spans="2:10" ht="12.75">
      <c r="B15" s="74" t="s">
        <v>62</v>
      </c>
      <c r="C15" s="78"/>
      <c r="D15" s="74"/>
      <c r="E15" s="74"/>
      <c r="F15" s="74"/>
      <c r="G15" s="74"/>
      <c r="H15" s="74"/>
      <c r="I15" s="136"/>
      <c r="J15" s="136"/>
    </row>
    <row r="16" spans="2:10" ht="12.75">
      <c r="B16" s="75" t="s">
        <v>200</v>
      </c>
      <c r="C16" s="76">
        <f>SUM(D16:I16)</f>
        <v>48935000</v>
      </c>
      <c r="D16" s="77">
        <v>0</v>
      </c>
      <c r="E16" s="77">
        <v>4028621</v>
      </c>
      <c r="F16" s="77">
        <v>3689121</v>
      </c>
      <c r="G16" s="77">
        <v>6448932</v>
      </c>
      <c r="H16" s="77">
        <v>27578726</v>
      </c>
      <c r="I16" s="131">
        <v>7189600</v>
      </c>
      <c r="J16" s="131">
        <v>159806</v>
      </c>
    </row>
    <row r="17" spans="2:10" ht="12.75">
      <c r="B17" s="75" t="s">
        <v>60</v>
      </c>
      <c r="C17" s="76">
        <f>SUM(D17:I17)</f>
        <v>8475729</v>
      </c>
      <c r="D17" s="77">
        <v>2164625</v>
      </c>
      <c r="E17" s="77">
        <v>3214944</v>
      </c>
      <c r="F17" s="77">
        <v>500490</v>
      </c>
      <c r="G17" s="77">
        <v>441800</v>
      </c>
      <c r="H17" s="77">
        <v>1773870</v>
      </c>
      <c r="I17" s="131">
        <v>380000</v>
      </c>
      <c r="J17" s="131">
        <v>0</v>
      </c>
    </row>
    <row r="18" spans="2:10" ht="12.75">
      <c r="B18" s="75"/>
      <c r="C18" s="76"/>
      <c r="D18" s="76"/>
      <c r="E18" s="76"/>
      <c r="F18" s="76"/>
      <c r="G18" s="76"/>
      <c r="H18" s="77"/>
      <c r="I18" s="136"/>
      <c r="J18" s="136"/>
    </row>
    <row r="19" spans="2:10" ht="12.75">
      <c r="B19" s="80" t="s">
        <v>26</v>
      </c>
      <c r="C19" s="81">
        <f aca="true" t="shared" si="0" ref="C19:I19">SUM(C12:C17)</f>
        <v>66010369</v>
      </c>
      <c r="D19" s="81">
        <f t="shared" si="0"/>
        <v>4954999</v>
      </c>
      <c r="E19" s="81">
        <f t="shared" si="0"/>
        <v>9096478</v>
      </c>
      <c r="F19" s="81">
        <f t="shared" si="0"/>
        <v>5856120</v>
      </c>
      <c r="G19" s="81">
        <f t="shared" si="0"/>
        <v>7749182</v>
      </c>
      <c r="H19" s="82">
        <f t="shared" si="0"/>
        <v>30783990</v>
      </c>
      <c r="I19" s="82">
        <f t="shared" si="0"/>
        <v>7569600</v>
      </c>
      <c r="J19" s="82">
        <f>SUM(J12:J17)</f>
        <v>159806</v>
      </c>
    </row>
    <row r="20" spans="2:10" ht="12.75">
      <c r="B20" s="73"/>
      <c r="C20" s="50"/>
      <c r="D20" s="73"/>
      <c r="E20" s="73"/>
      <c r="F20" s="73"/>
      <c r="G20" s="73"/>
      <c r="H20" s="73"/>
      <c r="I20" s="129"/>
      <c r="J20" s="129"/>
    </row>
    <row r="21" spans="2:8" ht="12.75">
      <c r="B21" s="28"/>
      <c r="C21" s="28"/>
      <c r="D21" s="28"/>
      <c r="E21" s="28"/>
      <c r="F21" s="28"/>
      <c r="G21" s="28"/>
      <c r="H21" s="28"/>
    </row>
    <row r="22" spans="2:9" ht="12.75">
      <c r="B22" s="28"/>
      <c r="C22" s="28"/>
      <c r="D22" s="28"/>
      <c r="E22" s="28"/>
      <c r="F22" s="28"/>
      <c r="G22" s="28"/>
      <c r="H22" s="28"/>
      <c r="I22" s="37"/>
    </row>
    <row r="23" spans="2:9" ht="12.75">
      <c r="B23" s="1"/>
      <c r="C23" s="1"/>
      <c r="D23" s="1"/>
      <c r="E23" s="1"/>
      <c r="F23" s="1"/>
      <c r="G23" s="1"/>
      <c r="H23" s="1"/>
      <c r="I23" s="37"/>
    </row>
    <row r="24" spans="2:8" ht="12.75">
      <c r="B24" s="1"/>
      <c r="C24" s="1"/>
      <c r="D24" s="1"/>
      <c r="E24" s="1"/>
      <c r="F24" s="1"/>
      <c r="G24" s="1"/>
      <c r="H24" s="1"/>
    </row>
    <row r="25" spans="2:8" ht="12.75">
      <c r="B25" s="31" t="s">
        <v>110</v>
      </c>
      <c r="C25" s="1"/>
      <c r="D25" s="1"/>
      <c r="E25" s="1"/>
      <c r="F25" s="1"/>
      <c r="G25" s="1"/>
      <c r="H25" s="1"/>
    </row>
    <row r="26" spans="3:8" ht="12.75">
      <c r="C26" s="1"/>
      <c r="D26" s="1"/>
      <c r="E26" s="1"/>
      <c r="F26" s="1"/>
      <c r="G26" s="1"/>
      <c r="H26" s="1"/>
    </row>
    <row r="27" spans="2:8" ht="12.75">
      <c r="B27" s="79"/>
      <c r="C27" s="1"/>
      <c r="D27" s="1"/>
      <c r="E27" s="1"/>
      <c r="F27" s="1"/>
      <c r="G27" s="1"/>
      <c r="H27" s="1"/>
    </row>
    <row r="28" spans="2:8" ht="12.75">
      <c r="B28" s="79"/>
      <c r="C28" s="1"/>
      <c r="D28" s="1"/>
      <c r="E28" s="1"/>
      <c r="F28" s="1"/>
      <c r="G28" s="1"/>
      <c r="H28" s="1"/>
    </row>
    <row r="29" spans="2:8" ht="12.75">
      <c r="B29" s="79"/>
      <c r="C29" s="1"/>
      <c r="D29" s="1"/>
      <c r="E29" s="1"/>
      <c r="F29" s="1"/>
      <c r="G29" s="1"/>
      <c r="H29" s="1"/>
    </row>
    <row r="30" spans="2:8" ht="12.75">
      <c r="B30" s="79"/>
      <c r="C30" s="1"/>
      <c r="D30" s="1"/>
      <c r="E30" s="1"/>
      <c r="F30" s="1"/>
      <c r="G30" s="1"/>
      <c r="H30" s="1"/>
    </row>
    <row r="31" spans="2:8" ht="12.75">
      <c r="B31" s="79"/>
      <c r="C31" s="1"/>
      <c r="D31" s="1"/>
      <c r="E31" s="1"/>
      <c r="F31" s="1"/>
      <c r="G31" s="1"/>
      <c r="H31" s="1"/>
    </row>
    <row r="32" spans="2:8" ht="12.75">
      <c r="B32" s="79"/>
      <c r="C32" s="1"/>
      <c r="D32" s="1"/>
      <c r="E32" s="1"/>
      <c r="F32" s="1"/>
      <c r="G32" s="1"/>
      <c r="H32" s="1"/>
    </row>
    <row r="33" spans="2:8" ht="12.75">
      <c r="B33" s="31" t="s">
        <v>111</v>
      </c>
      <c r="C33" s="1"/>
      <c r="D33" s="1"/>
      <c r="E33" s="1"/>
      <c r="F33" s="1"/>
      <c r="G33" s="1"/>
      <c r="H33" s="1"/>
    </row>
    <row r="34" spans="2:8" ht="12.75">
      <c r="B34" s="79"/>
      <c r="C34" s="1"/>
      <c r="D34" s="1"/>
      <c r="E34" s="1"/>
      <c r="F34" s="1"/>
      <c r="G34" s="1"/>
      <c r="H34" s="1"/>
    </row>
    <row r="35" spans="3:8" ht="12.75">
      <c r="C35" s="1"/>
      <c r="D35" s="1"/>
      <c r="E35" s="1"/>
      <c r="F35" s="1"/>
      <c r="G35" s="1"/>
      <c r="H35" s="1"/>
    </row>
    <row r="36" spans="2:8" ht="12.75">
      <c r="B36" s="79"/>
      <c r="C36" s="1"/>
      <c r="D36" s="1"/>
      <c r="E36" s="1"/>
      <c r="F36" s="1"/>
      <c r="G36" s="1"/>
      <c r="H36" s="1"/>
    </row>
    <row r="37" spans="2:8" ht="12.75">
      <c r="B37" s="79"/>
      <c r="C37" s="1"/>
      <c r="D37" s="1"/>
      <c r="E37" s="1"/>
      <c r="F37" s="1"/>
      <c r="G37" s="1"/>
      <c r="H37" s="1"/>
    </row>
    <row r="38" spans="2:8" ht="12.75">
      <c r="B38" s="79"/>
      <c r="C38" s="1"/>
      <c r="D38" s="1"/>
      <c r="E38" s="1"/>
      <c r="F38" s="1"/>
      <c r="G38" s="1"/>
      <c r="H38" s="1"/>
    </row>
    <row r="39" spans="2:8" ht="12.75">
      <c r="B39" s="79"/>
      <c r="C39" s="1"/>
      <c r="D39" s="1"/>
      <c r="E39" s="1"/>
      <c r="F39" s="1"/>
      <c r="G39" s="1"/>
      <c r="H39" s="1"/>
    </row>
    <row r="40" spans="2:8" ht="12.75">
      <c r="B40" s="31" t="s">
        <v>112</v>
      </c>
      <c r="C40" s="1"/>
      <c r="D40" s="1"/>
      <c r="E40" s="1"/>
      <c r="F40" s="1"/>
      <c r="G40" s="1"/>
      <c r="H40" s="1"/>
    </row>
    <row r="41" spans="2:8" ht="12.75">
      <c r="B41" s="79"/>
      <c r="C41" s="1"/>
      <c r="D41" s="1"/>
      <c r="E41" s="1"/>
      <c r="F41" s="1"/>
      <c r="G41" s="1"/>
      <c r="H41" s="1"/>
    </row>
    <row r="42" spans="2:8" ht="12.75">
      <c r="B42" s="79"/>
      <c r="C42" s="1"/>
      <c r="D42" s="1"/>
      <c r="E42" s="1"/>
      <c r="F42" s="1"/>
      <c r="G42" s="1"/>
      <c r="H42" s="1"/>
    </row>
    <row r="43" spans="3:8" ht="12.75">
      <c r="C43" s="1"/>
      <c r="D43" s="1"/>
      <c r="E43" s="1"/>
      <c r="F43" s="1"/>
      <c r="G43" s="1"/>
      <c r="H43" s="1"/>
    </row>
  </sheetData>
  <printOptions horizontalCentered="1"/>
  <pageMargins left="0.54" right="0.5" top="0.75" bottom="0.75" header="0.5" footer="0.5"/>
  <pageSetup firstPageNumber="-1" useFirstPageNumber="1" fitToHeight="1" fitToWidth="1" horizontalDpi="600" verticalDpi="600" orientation="landscape" paperSize="9" scale="84" r:id="rId2"/>
  <headerFooter alignWithMargins="0">
    <oddFooter>&amp;C&amp;P+14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Commerce (M)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Zakiah Zakaria</dc:creator>
  <cp:keywords/>
  <dc:description/>
  <cp:lastModifiedBy>Commerce Asset-Holding Berhad</cp:lastModifiedBy>
  <cp:lastPrinted>2003-01-08T05:59:05Z</cp:lastPrinted>
  <dcterms:created xsi:type="dcterms:W3CDTF">2000-08-14T01:14:54Z</dcterms:created>
  <dcterms:modified xsi:type="dcterms:W3CDTF">2003-01-08T09:17:41Z</dcterms:modified>
  <cp:category/>
  <cp:version/>
  <cp:contentType/>
  <cp:contentStatus/>
</cp:coreProperties>
</file>