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1530" windowWidth="11340" windowHeight="8580" tabRatio="660" firstSheet="1" activeTab="1"/>
  </bookViews>
  <sheets>
    <sheet name="Balance Sheet (2)" sheetId="1" state="hidden" r:id="rId1"/>
    <sheet name="PL Condensed" sheetId="2" r:id="rId2"/>
    <sheet name="Balance Sheet Condensed" sheetId="3" r:id="rId3"/>
    <sheet name="EPS" sheetId="4" state="hidden" r:id="rId4"/>
    <sheet name="EquityCondensed" sheetId="5" r:id="rId5"/>
    <sheet name=" Cash FlowCondensed" sheetId="6" r:id="rId6"/>
    <sheet name="Notes MASB &amp; MSEB Requirement " sheetId="7" state="hidden" r:id="rId7"/>
    <sheet name="Cash FlowCondensed(H)" sheetId="8" state="hidden" r:id="rId8"/>
    <sheet name="WK Cashflow worksheet(H)" sheetId="9" state="hidden" r:id="rId9"/>
  </sheets>
  <externalReferences>
    <externalReference r:id="rId12"/>
    <externalReference r:id="rId13"/>
    <externalReference r:id="rId14"/>
    <externalReference r:id="rId15"/>
    <externalReference r:id="rId16"/>
  </externalReferences>
  <definedNames>
    <definedName name="_xlnm.Print_Area" localSheetId="5">' Cash FlowCondensed'!$A$1:$E$51</definedName>
    <definedName name="_xlnm.Print_Area" localSheetId="0">'Balance Sheet (2)'!$A$1:$I$58</definedName>
    <definedName name="_xlnm.Print_Area" localSheetId="2">'Balance Sheet Condensed'!$A$1:$D$70</definedName>
    <definedName name="_xlnm.Print_Area" localSheetId="7">'Cash FlowCondensed(H)'!$A$1:$E$50</definedName>
    <definedName name="_xlnm.Print_Area" localSheetId="4">'EquityCondensed'!$A$1:$H$48</definedName>
    <definedName name="_xlnm.Print_Area" localSheetId="1">'PL Condensed'!$A$1:$F$55</definedName>
    <definedName name="_xlnm.Print_Area" localSheetId="8">'WK Cashflow worksheet(H)'!$A$1:$N$102</definedName>
  </definedNames>
  <calcPr fullCalcOnLoad="1"/>
</workbook>
</file>

<file path=xl/comments1.xml><?xml version="1.0" encoding="utf-8"?>
<comments xmlns="http://schemas.openxmlformats.org/spreadsheetml/2006/main">
  <authors>
    <author>LAIFONGLING</author>
  </authors>
  <commentList>
    <comment ref="C22" authorId="0">
      <text>
        <r>
          <rPr>
            <b/>
            <sz val="8"/>
            <rFont val="Tahoma"/>
            <family val="2"/>
          </rPr>
          <t>LAIFONGLING:</t>
        </r>
        <r>
          <rPr>
            <sz val="8"/>
            <rFont val="Tahoma"/>
            <family val="2"/>
          </rPr>
          <t xml:space="preserve">
HLB, BIMB, Al-Rajhi.</t>
        </r>
      </text>
    </comment>
  </commentList>
</comments>
</file>

<file path=xl/sharedStrings.xml><?xml version="1.0" encoding="utf-8"?>
<sst xmlns="http://schemas.openxmlformats.org/spreadsheetml/2006/main" count="595" uniqueCount="355">
  <si>
    <t>CBS Technology Berhad</t>
  </si>
  <si>
    <t>DR</t>
  </si>
  <si>
    <t>CR</t>
  </si>
  <si>
    <t>RM</t>
  </si>
  <si>
    <t>Goodwill on consolidation</t>
  </si>
  <si>
    <t>Investment in Cyber</t>
  </si>
  <si>
    <t>Goodwill on acquisition</t>
  </si>
  <si>
    <t>Investment in Netgen</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</si>
  <si>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</si>
  <si>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</si>
  <si>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</si>
  <si>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</si>
  <si>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</si>
  <si>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</si>
  <si>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</si>
  <si>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</si>
  <si>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</si>
  <si>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</si>
  <si>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</si>
  <si>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</si>
  <si>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</si>
  <si>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</si>
  <si>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</si>
  <si>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</si>
  <si>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CBS Tech</t>
  </si>
  <si>
    <t xml:space="preserve">Cyber </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</si>
  <si>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</si>
  <si>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</si>
  <si>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</si>
  <si>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</si>
  <si>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</si>
  <si>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</si>
  <si>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</si>
  <si>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</si>
  <si>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</si>
  <si>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</si>
  <si>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</si>
  <si>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</si>
  <si>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</si>
  <si>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</si>
  <si>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</si>
  <si>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</si>
  <si>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</si>
  <si>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</si>
  <si>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</si>
  <si>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</si>
  <si>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</si>
  <si>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</si>
  <si>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</si>
  <si>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</si>
  <si>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STATEMENT OF CHANGES IN EQUITY</t>
  </si>
  <si>
    <t>Share</t>
  </si>
  <si>
    <t>capital</t>
  </si>
  <si>
    <t>Total</t>
  </si>
  <si>
    <t>Depreciation</t>
  </si>
  <si>
    <t>CBS TECHNOLOGY BERHAD</t>
  </si>
  <si>
    <t>Cyber</t>
  </si>
  <si>
    <t>AMORTISATION OF GOODWILL</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</si>
  <si>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</si>
  <si>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</si>
  <si>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</si>
  <si>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</si>
  <si>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</si>
  <si>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</si>
  <si>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</si>
  <si>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</si>
  <si>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</si>
  <si>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</si>
  <si>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</si>
  <si>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</si>
  <si>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</si>
  <si>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</si>
  <si>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</si>
  <si>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</si>
  <si>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</si>
  <si>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</si>
  <si>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</si>
  <si>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</si>
  <si>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</si>
  <si>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</si>
  <si>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</si>
  <si>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</si>
  <si>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</si>
  <si>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</si>
  <si>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</si>
  <si>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</si>
  <si>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</si>
  <si>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</si>
  <si>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</si>
  <si>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</si>
  <si>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</si>
  <si>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</si>
  <si>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</si>
  <si>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</si>
  <si>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</si>
  <si>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</si>
  <si>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</si>
  <si>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</si>
  <si>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</si>
  <si>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</si>
  <si>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</si>
  <si>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</si>
  <si>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</si>
  <si>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</si>
  <si>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</si>
  <si>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</si>
  <si>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</si>
  <si>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</si>
  <si>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</si>
  <si>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</si>
  <si>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</si>
  <si>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</si>
  <si>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</si>
  <si>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</si>
  <si>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</si>
  <si>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</si>
  <si>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</si>
  <si>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</si>
  <si>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</si>
  <si>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</si>
  <si>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</si>
  <si>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</si>
  <si>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</si>
  <si>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</si>
  <si>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</si>
  <si>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</si>
  <si>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</si>
  <si>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Other receivables, deposits and prepayments</t>
  </si>
  <si>
    <t>Revenue</t>
  </si>
  <si>
    <t>Profit after taxation</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</si>
  <si>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</si>
  <si>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</si>
  <si>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</si>
  <si>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</si>
  <si>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</si>
  <si>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</si>
  <si>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</si>
  <si>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r>
      <t>CBS TECHNOLOGY BERHAD</t>
    </r>
    <r>
      <rPr>
        <b/>
        <sz val="8"/>
        <rFont val="Arial"/>
        <family val="2"/>
      </rPr>
      <t xml:space="preserve"> (537337M)</t>
    </r>
  </si>
  <si>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</si>
  <si>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</si>
  <si>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</si>
  <si>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</si>
  <si>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</si>
  <si>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</si>
  <si>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</si>
  <si>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</si>
  <si>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</si>
  <si>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</si>
  <si>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</si>
  <si>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</si>
  <si>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</si>
  <si>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</si>
  <si>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</si>
  <si>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</si>
  <si>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</si>
  <si>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</si>
  <si>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</si>
  <si>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</si>
  <si>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</si>
  <si>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</si>
  <si>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</si>
  <si>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</si>
  <si>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</si>
  <si>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</si>
  <si>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</si>
  <si>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</si>
  <si>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</si>
  <si>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</si>
  <si>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</si>
  <si>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Cash and cash equivalent at beginning of period</t>
  </si>
  <si>
    <t>Cash and cash equivalent</t>
  </si>
  <si>
    <t>B14</t>
  </si>
  <si>
    <t>Authorisation for Issue</t>
  </si>
  <si>
    <t>N/A</t>
  </si>
  <si>
    <t>Profit before taxation</t>
  </si>
  <si>
    <t xml:space="preserve">Note :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</si>
  <si>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</si>
  <si>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</si>
  <si>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</si>
  <si>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</si>
  <si>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</si>
  <si>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</si>
  <si>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</si>
  <si>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</si>
  <si>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</si>
  <si>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</si>
  <si>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</si>
  <si>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</si>
  <si>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</si>
  <si>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Other short term investment - Liquid</t>
  </si>
  <si>
    <t>Share Premium</t>
  </si>
  <si>
    <t>Share Capital</t>
  </si>
  <si>
    <t>premium</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</si>
  <si>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</si>
  <si>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</si>
  <si>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</si>
  <si>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</si>
  <si>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</si>
  <si>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</si>
  <si>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</si>
  <si>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</si>
  <si>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</si>
  <si>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</si>
  <si>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</si>
  <si>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</si>
  <si>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</si>
  <si>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</si>
  <si>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Investments IN CBS Tech GmbH</t>
  </si>
  <si>
    <t>Development Costs</t>
  </si>
  <si>
    <t>Investments in CBS Tech GmbH</t>
  </si>
  <si>
    <t>control check</t>
  </si>
  <si>
    <t>31.12.2004</t>
  </si>
  <si>
    <t>1,2</t>
  </si>
  <si>
    <t>No</t>
  </si>
  <si>
    <t xml:space="preserve">YEARLY REPORT ON CONSOLIDATED RESULTS </t>
  </si>
  <si>
    <t xml:space="preserve">     CUMULATIVE </t>
  </si>
  <si>
    <t>Deferred Income</t>
  </si>
  <si>
    <t>Other payables</t>
  </si>
  <si>
    <t>Selling &amp; Distribution Expenses</t>
  </si>
  <si>
    <t>profit</t>
  </si>
  <si>
    <t>Quarter Ended</t>
  </si>
  <si>
    <t>Jan  to Dec'04</t>
  </si>
  <si>
    <t>Cash and cash equivalent at beginning of year</t>
  </si>
  <si>
    <t>30.12.2003</t>
  </si>
  <si>
    <t>31.12.2003</t>
  </si>
  <si>
    <t xml:space="preserve">At 1 October 2004 </t>
  </si>
  <si>
    <t xml:space="preserve">At 31 December 2004 </t>
  </si>
  <si>
    <t>FOR THE SECOND QUARTER ENDED 30TH JUNE 2005</t>
  </si>
  <si>
    <t>SIX MONTHS ENDED 30TH JUNE 2005</t>
  </si>
  <si>
    <t>Net profit for the period</t>
  </si>
  <si>
    <t>Cash and cash equivalent at end of period (I)</t>
  </si>
  <si>
    <t xml:space="preserve">      INDIVIDUAL PERIOD</t>
  </si>
  <si>
    <t>4,5,6</t>
  </si>
  <si>
    <t>1</t>
  </si>
  <si>
    <t>REPRESENTED BY :</t>
  </si>
  <si>
    <t>Unaudited as at</t>
  </si>
  <si>
    <t>Cumulative Quarter</t>
  </si>
  <si>
    <t xml:space="preserve">Current </t>
  </si>
  <si>
    <t>year</t>
  </si>
  <si>
    <t>Preceding</t>
  </si>
  <si>
    <t>As at</t>
  </si>
  <si>
    <t>HP Payable</t>
  </si>
  <si>
    <t>4,5,.6</t>
  </si>
  <si>
    <t>Issuance of share capital</t>
  </si>
  <si>
    <t>Audited as at</t>
  </si>
  <si>
    <t>Fixed Deposits</t>
  </si>
  <si>
    <t>Net asset per share attributable to ordinary equity holders of the parent (sen)</t>
  </si>
  <si>
    <t>EPS</t>
  </si>
  <si>
    <t>Weighted</t>
  </si>
  <si>
    <t>Unit</t>
  </si>
  <si>
    <t>average unit</t>
  </si>
  <si>
    <t>Existing</t>
  </si>
  <si>
    <t>acquisition</t>
  </si>
  <si>
    <t>- Cyber</t>
  </si>
  <si>
    <t>r</t>
  </si>
  <si>
    <t>e</t>
  </si>
  <si>
    <t>- Netgen</t>
  </si>
  <si>
    <t>Public issued</t>
  </si>
  <si>
    <t>k</t>
  </si>
  <si>
    <t>Profit after taxation for the Group</t>
  </si>
  <si>
    <t>Excess money from the ESOS that</t>
  </si>
  <si>
    <t xml:space="preserve"> placed to the deposit at the rate of</t>
  </si>
  <si>
    <t xml:space="preserve"> 3.8%, the existing rate (after 28% of tax)</t>
  </si>
  <si>
    <t>Basic of EPS</t>
  </si>
  <si>
    <t>Fully diluted of EPS</t>
  </si>
  <si>
    <t>Agreed to respective co's financial statements</t>
  </si>
  <si>
    <t>Recomputed</t>
  </si>
  <si>
    <t>Date</t>
  </si>
  <si>
    <t xml:space="preserve">ESOS </t>
  </si>
  <si>
    <t>Tan Eik Beng</t>
  </si>
  <si>
    <t xml:space="preserve">15.7.2005 </t>
  </si>
  <si>
    <t xml:space="preserve">Teng Chooi Wan </t>
  </si>
  <si>
    <t>12.8.2005</t>
  </si>
  <si>
    <t>Koh Shuet Ree</t>
  </si>
  <si>
    <t>Low Chuen Fatt</t>
  </si>
  <si>
    <t>19.8.2005</t>
  </si>
  <si>
    <t>Oi Wei Lin</t>
  </si>
  <si>
    <t>30.8.2005</t>
  </si>
  <si>
    <t>Wong Thai Fong</t>
  </si>
  <si>
    <t>24.10.2005</t>
  </si>
  <si>
    <t>Sun Chee Kong</t>
  </si>
  <si>
    <t>24.1.2006</t>
  </si>
  <si>
    <t>Tan Ying Ying</t>
  </si>
  <si>
    <t>Hew Yoon Onn</t>
  </si>
  <si>
    <t>23.2.2006</t>
  </si>
  <si>
    <t>5.4.2006</t>
  </si>
  <si>
    <t>Phan Yoon Choo</t>
  </si>
  <si>
    <t>18.4.2006</t>
  </si>
  <si>
    <t>Teng Chooi Wan</t>
  </si>
  <si>
    <t>12.6.2006</t>
  </si>
  <si>
    <t>Tan Aik Beng</t>
  </si>
  <si>
    <t>21.6.2006</t>
  </si>
  <si>
    <t>Retracted</t>
  </si>
  <si>
    <t xml:space="preserve">Lee Ching**Resigned </t>
  </si>
  <si>
    <t>WA</t>
  </si>
  <si>
    <t>Average Market Price (Monthly)</t>
  </si>
  <si>
    <t>ESOS - 9,723,226</t>
  </si>
  <si>
    <t xml:space="preserve">Exercise </t>
  </si>
  <si>
    <t>Lim Chin Wen</t>
  </si>
  <si>
    <t>10.7.2006</t>
  </si>
  <si>
    <t>25.7.2006</t>
  </si>
  <si>
    <t>4.9.2006</t>
  </si>
  <si>
    <t>22.8.2006</t>
  </si>
  <si>
    <t>Q3</t>
  </si>
  <si>
    <t>Q3 Acc</t>
  </si>
  <si>
    <t>Investment in Trust Funds</t>
  </si>
  <si>
    <t>Fixed Dividend Endowment</t>
  </si>
  <si>
    <t>Share option reserve</t>
  </si>
  <si>
    <t>Investment property</t>
  </si>
  <si>
    <t>Share Option Reserve</t>
  </si>
  <si>
    <t>Share based payment under ESOS</t>
  </si>
  <si>
    <t>Share Option exercised</t>
  </si>
  <si>
    <t>As at 1 January 2007</t>
  </si>
  <si>
    <t>9,10</t>
  </si>
  <si>
    <t>CONDENSED CONSOLIDATED BALANCE SHEET AS AT 31 MARCH 2007</t>
  </si>
  <si>
    <t>31.3.07</t>
  </si>
  <si>
    <t>Unappropriated Profit</t>
  </si>
  <si>
    <t>Investment in jointly controlled entity</t>
  </si>
  <si>
    <t>Non-Current Assets</t>
  </si>
  <si>
    <t>Investments</t>
  </si>
  <si>
    <t xml:space="preserve">Cash flows used in investing activities </t>
  </si>
  <si>
    <t>Cash flows generated from/(used in) financing activities</t>
  </si>
  <si>
    <t>CONDENSED CONSOLIDATED CASHFLOW STATEMENT</t>
  </si>
  <si>
    <t>31.12.2007</t>
  </si>
  <si>
    <t>31.3.2007</t>
  </si>
  <si>
    <t>As at 1 January 2008</t>
  </si>
  <si>
    <t>31.3.2008</t>
  </si>
  <si>
    <t>FOR THE FIRST QUARTER ENDED 31 MARCH 2008</t>
  </si>
  <si>
    <t>CONDENSED CONSOLIDATED BALANCE SHEET AS AT 31 MARCH 2008</t>
  </si>
  <si>
    <t>As at 31 March 2008</t>
  </si>
  <si>
    <t>As at 31 March 2007</t>
  </si>
  <si>
    <t>(The Condensed Consolidated Cashflow Statement should be read in conjunction with the Company’s audited financial statements for the year ended 31 December 2007 and the accompanying explanatory notes attached to the interim financial statements)</t>
  </si>
  <si>
    <t>CONDENSED CONSOLIDATED INCOME STATEMENTS</t>
  </si>
  <si>
    <t>(The Condensed Consolidated Income Statements should be read in conjunction with the Company’s audited financial statements for the year ended 31 December 2007 and the accompanying explanatory notes attached to the interim financial statements)</t>
  </si>
  <si>
    <t>(The Condensed Consolidated Balance Sheet should be read in conjunction with the Company’s audited financial statements for the year ended 31 December 2007 and the accompanying explanatory notes attached to the interim financial statements)</t>
  </si>
  <si>
    <t>Prepaid land lease payments</t>
  </si>
  <si>
    <t>(The Condensed Consolidated Statement of Change in Equity should be read in conjunction with the Company’s audited financial statements for the year ended 31 December 2007 and the accompanying explanatory notes attached to the interim financial statements)</t>
  </si>
  <si>
    <t>Unappropriated</t>
  </si>
  <si>
    <t>Share option</t>
  </si>
  <si>
    <t>reserve</t>
  </si>
  <si>
    <t>equity</t>
  </si>
  <si>
    <t>Investments comprise of:</t>
  </si>
  <si>
    <t>Amount due from jointly controlled entity</t>
  </si>
  <si>
    <t>Development cost</t>
  </si>
  <si>
    <t>Trade and other receivables</t>
  </si>
  <si>
    <t>Tax recoverable</t>
  </si>
  <si>
    <t>Trade payables</t>
  </si>
  <si>
    <t>Current Liabilities</t>
  </si>
  <si>
    <t>Dividend payable</t>
  </si>
  <si>
    <t>Tax payable</t>
  </si>
  <si>
    <t>Total shareholders' equity</t>
  </si>
  <si>
    <t>Non-Current Liabilities</t>
  </si>
  <si>
    <t>Investment properties</t>
  </si>
  <si>
    <t>Operating expenses</t>
  </si>
  <si>
    <t>Other income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</si>
</sst>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_);_(* \(#,##0.0\);_(* &quot;-&quot;?_);_(@_)"/>
    <numFmt numFmtId="173" formatCode="[$-409]dddd\,\ dd\ mmmm\,\ yyyy"/>
    <numFmt numFmtId="174" formatCode="[$-409]d\-mmm\-yy;@"/>
    <numFmt numFmtId="175" formatCode="0.0%"/>
    <numFmt numFmtId="176" formatCode="_(* #,##0.000_);_(* \(#,##0.000\);_(* &quot;-&quot;??_);_(@_)"/>
    <numFmt numFmtId="177" formatCode="_(* #,##0.0000_);_(* \(#,##0.0000\);_(* &quot;-&quot;??_);_(@_)"/>
    <numFmt numFmtId="178" formatCode="_(* #,##0.00000_);_(* \(#,##0.00000\);_(* &quot;-&quot;??_);_(@_)"/>
    <numFmt numFmtId="179" formatCode="#,##0.00;\&lt;#,##0.00\&gt;"/>
    <numFmt numFmtId="180" formatCode="0.0000"/>
    <numFmt numFmtId="181" formatCode="0.000"/>
    <numFmt numFmtId="182" formatCode="#,##0.0_);[Red]\(#,##0.0\)"/>
    <numFmt numFmtId="183" formatCode="0.0"/>
    <numFmt numFmtId="184" formatCode="_(* #,##0.000000_);_(* \(#,##0.000000\);_(* &quot;-&quot;??_);_(@_)"/>
    <numFmt numFmtId="185" formatCode="_(* #,##0.0000000_);_(* \(#,##0.0000000\);_(* &quot;-&quot;??_);_(@_)"/>
    <numFmt numFmtId="186" formatCode="m/d/yy"/>
    <numFmt numFmtId="187" formatCode="#,##0.0_);\(#,##0.0\)"/>
    <numFmt numFmtId="188" formatCode="#,##0.000_);\(#,##0.000\)"/>
    <numFmt numFmtId="189" formatCode="#,##0.0000_);\(#,##0.0000\)"/>
    <numFmt numFmtId="190" formatCode="_(* #,##0.00000000_);_(* \(#,##0.00000000\);_(* &quot;-&quot;??_);_(@_)"/>
    <numFmt numFmtId="191" formatCode="_(* #,##0.000000000_);_(* \(#,##0.000000000\);_(* &quot;-&quot;??_);_(@_)"/>
    <numFmt numFmtId="192" formatCode="0.000%"/>
    <numFmt numFmtId="193" formatCode="[$-409]h:mm:ss\ AM/PM"/>
    <numFmt numFmtId="194" formatCode="[$-409]dddd\,\ mmmm\ dd\,\ yyyy"/>
    <numFmt numFmtId="195" formatCode="#,##0.000000000_);\(#,##0.000000000\)"/>
    <numFmt numFmtId="196" formatCode="_(* #,##0.000_);_(* \(#,##0.000\);_(* &quot;-&quot;???_);_(@_)"/>
  </numFmts>
  <fonts count="43">
    <font>
      <sz val="10"/>
      <name val="Arial"/>
      <family val="0"/>
    </font>
    <font>
      <sz val="8"/>
      <name val="Arial"/>
      <family val="2"/>
    </font>
    <font>
      <b/>
      <sz val="10"/>
      <name val="Arial"/>
      <family val="2"/>
    </font>
    <font>
      <b/>
      <sz val="9"/>
      <name val="Arial"/>
      <family val="2"/>
    </font>
    <font>
      <b/>
      <sz val="10"/>
      <name val="Times New Roman"/>
      <family val="1"/>
    </font>
    <font>
      <b/>
      <sz val="12"/>
      <name val="Arial"/>
      <family val="2"/>
    </font>
    <font>
      <sz val="10"/>
      <color indexed="10"/>
      <name val="Arial"/>
      <family val="2"/>
    </font>
    <font>
      <b/>
      <sz val="11"/>
      <name val="Arial"/>
      <family val="2"/>
    </font>
    <font>
      <sz val="10"/>
      <color indexed="12"/>
      <name val="Arial"/>
      <family val="2"/>
    </font>
    <font>
      <sz val="10"/>
      <color indexed="50"/>
      <name val="Arial"/>
      <family val="2"/>
    </font>
    <font>
      <sz val="11"/>
      <name val="Arial"/>
      <family val="2"/>
    </font>
    <font>
      <sz val="12"/>
      <name val="Arial"/>
      <family val="2"/>
    </font>
    <font>
      <b/>
      <sz val="8"/>
      <name val="Arial"/>
      <family val="2"/>
    </font>
    <font>
      <b/>
      <sz val="10"/>
      <color indexed="10"/>
      <name val="Arial"/>
      <family val="2"/>
    </font>
    <font>
      <b/>
      <sz val="10"/>
      <color indexed="10"/>
      <name val="Times New Roman"/>
      <family val="1"/>
    </font>
    <font>
      <sz val="11"/>
      <name val="MS Sans Serif"/>
      <family val="2"/>
    </font>
    <font>
      <u val="single"/>
      <sz val="10"/>
      <color indexed="12"/>
      <name val="Arial"/>
      <family val="2"/>
    </font>
    <font>
      <u val="single"/>
      <sz val="10"/>
      <color indexed="36"/>
      <name val="Arial"/>
      <family val="2"/>
    </font>
    <font>
      <b/>
      <u val="single"/>
      <sz val="10"/>
      <name val="Arial"/>
      <family val="2"/>
    </font>
    <font>
      <sz val="8"/>
      <name val="Tahoma"/>
      <family val="2"/>
    </font>
    <font>
      <b/>
      <sz val="8"/>
      <name val="Tahoma"/>
      <family val="2"/>
    </font>
    <font>
      <b/>
      <sz val="10"/>
      <color indexed="10"/>
      <name val="Standard Tickmarks"/>
      <family val="2"/>
    </font>
    <font>
      <b/>
      <sz val="10"/>
      <color indexed="17"/>
      <name val="Standard Tickmark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0"/>
    </font>
    <font>
      <sz val="10"/>
      <color indexed="8"/>
      <name val="Arial"/>
      <family val="0"/>
    </font>
    <font>
      <u val="single"/>
      <sz val="11"/>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0" borderId="0">
      <alignment/>
      <protection/>
    </xf>
    <xf numFmtId="0" fontId="15" fillId="0" borderId="0">
      <alignment/>
      <protection/>
    </xf>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34">
    <xf numFmtId="0" fontId="0" fillId="0" borderId="0" xfId="0" applyAlignment="1">
      <alignment/>
    </xf>
    <xf numFmtId="43" fontId="0" fillId="0" borderId="0" xfId="42" applyFont="1" applyAlignment="1">
      <alignment/>
    </xf>
    <xf numFmtId="0" fontId="2" fillId="0" borderId="0" xfId="0" applyFont="1" applyAlignment="1">
      <alignment/>
    </xf>
    <xf numFmtId="171" fontId="0" fillId="0" borderId="0" xfId="42" applyNumberFormat="1" applyFont="1" applyAlignment="1">
      <alignment/>
    </xf>
    <xf numFmtId="171" fontId="3" fillId="0" borderId="0" xfId="42" applyNumberFormat="1" applyFont="1" applyAlignment="1">
      <alignment horizontal="center"/>
    </xf>
    <xf numFmtId="171" fontId="0" fillId="0" borderId="10" xfId="42" applyNumberFormat="1" applyFont="1" applyBorder="1" applyAlignment="1">
      <alignment/>
    </xf>
    <xf numFmtId="171" fontId="0" fillId="0" borderId="11" xfId="42" applyNumberFormat="1" applyFont="1" applyBorder="1" applyAlignment="1">
      <alignment/>
    </xf>
    <xf numFmtId="171" fontId="0" fillId="0" borderId="12" xfId="42" applyNumberFormat="1" applyFont="1" applyBorder="1" applyAlignment="1">
      <alignment/>
    </xf>
    <xf numFmtId="171" fontId="0" fillId="0" borderId="13" xfId="42" applyNumberFormat="1" applyFont="1" applyBorder="1" applyAlignment="1">
      <alignment/>
    </xf>
    <xf numFmtId="0" fontId="0" fillId="0" borderId="0" xfId="0" applyFont="1" applyAlignment="1">
      <alignment/>
    </xf>
    <xf numFmtId="171" fontId="0" fillId="0" borderId="14" xfId="42" applyNumberFormat="1" applyFont="1" applyBorder="1" applyAlignment="1">
      <alignment/>
    </xf>
    <xf numFmtId="171" fontId="0" fillId="0" borderId="14" xfId="42" applyNumberFormat="1" applyFont="1" applyBorder="1" applyAlignment="1">
      <alignment/>
    </xf>
    <xf numFmtId="171" fontId="0" fillId="0" borderId="0" xfId="42" applyNumberFormat="1" applyFont="1" applyAlignment="1">
      <alignment/>
    </xf>
    <xf numFmtId="43" fontId="0" fillId="0" borderId="0" xfId="0" applyNumberFormat="1" applyAlignment="1">
      <alignment/>
    </xf>
    <xf numFmtId="171" fontId="0" fillId="0" borderId="0" xfId="0" applyNumberFormat="1" applyAlignment="1">
      <alignment/>
    </xf>
    <xf numFmtId="0" fontId="0" fillId="0" borderId="0" xfId="0" applyFont="1" applyAlignment="1">
      <alignment/>
    </xf>
    <xf numFmtId="0" fontId="0" fillId="0" borderId="0" xfId="0" applyFont="1" applyBorder="1" applyAlignment="1">
      <alignment/>
    </xf>
    <xf numFmtId="171" fontId="0" fillId="0" borderId="0" xfId="42"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horizontal="center"/>
    </xf>
    <xf numFmtId="171" fontId="0" fillId="0" borderId="0" xfId="42" applyNumberFormat="1" applyFont="1" applyAlignment="1" quotePrefix="1">
      <alignment horizontal="center"/>
    </xf>
    <xf numFmtId="171" fontId="0" fillId="0" borderId="0" xfId="42" applyNumberFormat="1" applyFont="1" applyBorder="1" applyAlignment="1">
      <alignment/>
    </xf>
    <xf numFmtId="171" fontId="0" fillId="0" borderId="0" xfId="42" applyNumberFormat="1" applyFont="1" applyAlignment="1">
      <alignment horizontal="center"/>
    </xf>
    <xf numFmtId="0" fontId="6" fillId="0" borderId="0" xfId="0" applyFont="1" applyAlignment="1">
      <alignment/>
    </xf>
    <xf numFmtId="0" fontId="7" fillId="0" borderId="0" xfId="0" applyFont="1" applyAlignment="1">
      <alignment/>
    </xf>
    <xf numFmtId="171" fontId="2" fillId="0" borderId="0" xfId="42" applyNumberFormat="1" applyFont="1" applyAlignment="1">
      <alignment horizontal="center"/>
    </xf>
    <xf numFmtId="0" fontId="2" fillId="0" borderId="0" xfId="0" applyFont="1" applyAlignment="1" quotePrefix="1">
      <alignment horizontal="left"/>
    </xf>
    <xf numFmtId="171" fontId="0" fillId="0" borderId="13" xfId="42"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71" fontId="0" fillId="0" borderId="13" xfId="42" applyNumberFormat="1" applyFont="1" applyBorder="1" applyAlignment="1">
      <alignment horizontal="justify"/>
    </xf>
    <xf numFmtId="171" fontId="0" fillId="0" borderId="0" xfId="42" applyNumberFormat="1" applyFont="1" applyBorder="1" applyAlignment="1">
      <alignment horizontal="justify"/>
    </xf>
    <xf numFmtId="0" fontId="0" fillId="0" borderId="0" xfId="0" applyBorder="1" applyAlignment="1">
      <alignment/>
    </xf>
    <xf numFmtId="0" fontId="10" fillId="0" borderId="10" xfId="0" applyFont="1" applyBorder="1" applyAlignment="1">
      <alignment horizontal="center" wrapText="1"/>
    </xf>
    <xf numFmtId="0" fontId="10" fillId="0" borderId="15" xfId="0" applyFont="1" applyBorder="1" applyAlignment="1">
      <alignment horizontal="center" wrapText="1"/>
    </xf>
    <xf numFmtId="0" fontId="0" fillId="0" borderId="10" xfId="0" applyBorder="1" applyAlignment="1">
      <alignment/>
    </xf>
    <xf numFmtId="0" fontId="13" fillId="0" borderId="0" xfId="0" applyFont="1" applyAlignment="1">
      <alignment/>
    </xf>
    <xf numFmtId="0" fontId="6" fillId="0" borderId="0" xfId="0" applyFont="1" applyAlignment="1">
      <alignment/>
    </xf>
    <xf numFmtId="0" fontId="6" fillId="0" borderId="0" xfId="0" applyFont="1" applyAlignment="1">
      <alignment horizontal="left"/>
    </xf>
    <xf numFmtId="0" fontId="0" fillId="0" borderId="0" xfId="0" applyFont="1" applyAlignment="1" quotePrefix="1">
      <alignment/>
    </xf>
    <xf numFmtId="0" fontId="14" fillId="0" borderId="0" xfId="0" applyFont="1" applyAlignment="1">
      <alignment horizontal="left"/>
    </xf>
    <xf numFmtId="171" fontId="0" fillId="0" borderId="0" xfId="0" applyNumberFormat="1" applyFont="1" applyAlignment="1">
      <alignment/>
    </xf>
    <xf numFmtId="43" fontId="0" fillId="0" borderId="0" xfId="0" applyNumberFormat="1" applyFont="1" applyAlignment="1">
      <alignment/>
    </xf>
    <xf numFmtId="0" fontId="2" fillId="0" borderId="0" xfId="0" applyFont="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171" fontId="7" fillId="0" borderId="0" xfId="42" applyNumberFormat="1" applyFont="1" applyFill="1" applyAlignment="1" quotePrefix="1">
      <alignment/>
    </xf>
    <xf numFmtId="43" fontId="10" fillId="0" borderId="11" xfId="42" applyFont="1" applyBorder="1" applyAlignment="1">
      <alignment/>
    </xf>
    <xf numFmtId="43" fontId="10" fillId="0" borderId="11" xfId="42" applyFont="1" applyBorder="1" applyAlignment="1">
      <alignment horizontal="center"/>
    </xf>
    <xf numFmtId="171" fontId="10" fillId="0" borderId="12" xfId="0" applyNumberFormat="1" applyFont="1" applyBorder="1" applyAlignment="1">
      <alignment horizontal="center"/>
    </xf>
    <xf numFmtId="43" fontId="10" fillId="0" borderId="10" xfId="0" applyNumberFormat="1" applyFont="1" applyBorder="1" applyAlignment="1">
      <alignment/>
    </xf>
    <xf numFmtId="43" fontId="10" fillId="0" borderId="12" xfId="42" applyFont="1" applyBorder="1" applyAlignment="1">
      <alignment/>
    </xf>
    <xf numFmtId="43" fontId="10" fillId="0" borderId="16" xfId="0" applyNumberFormat="1" applyFont="1" applyBorder="1" applyAlignment="1">
      <alignment/>
    </xf>
    <xf numFmtId="43" fontId="0" fillId="0" borderId="0" xfId="42" applyNumberFormat="1" applyFont="1" applyAlignment="1">
      <alignment/>
    </xf>
    <xf numFmtId="171" fontId="2" fillId="0" borderId="0" xfId="42" applyNumberFormat="1" applyFont="1" applyAlignment="1" quotePrefix="1">
      <alignment horizontal="center"/>
    </xf>
    <xf numFmtId="171" fontId="2" fillId="0" borderId="0" xfId="42" applyNumberFormat="1" applyFont="1" applyAlignment="1">
      <alignment/>
    </xf>
    <xf numFmtId="171" fontId="0" fillId="0" borderId="17" xfId="42" applyNumberFormat="1" applyFont="1" applyBorder="1" applyAlignment="1">
      <alignment/>
    </xf>
    <xf numFmtId="171" fontId="0" fillId="0" borderId="0" xfId="42" applyNumberFormat="1" applyFont="1" applyAlignment="1">
      <alignment horizontal="right"/>
    </xf>
    <xf numFmtId="0" fontId="0" fillId="0" borderId="0" xfId="58" applyFont="1">
      <alignment/>
      <protection/>
    </xf>
    <xf numFmtId="0" fontId="2" fillId="0" borderId="0" xfId="57" applyFont="1" applyFill="1" applyAlignment="1">
      <alignment horizontal="center" vertical="top"/>
      <protection/>
    </xf>
    <xf numFmtId="0" fontId="0" fillId="0" borderId="0" xfId="57" applyFont="1" applyFill="1" applyAlignment="1">
      <alignment horizontal="left" vertical="top"/>
      <protection/>
    </xf>
    <xf numFmtId="0" fontId="2" fillId="0" borderId="0" xfId="57" applyFont="1" applyFill="1" applyAlignment="1">
      <alignment vertical="center"/>
      <protection/>
    </xf>
    <xf numFmtId="0" fontId="0" fillId="0" borderId="0" xfId="57"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71" fontId="0" fillId="0" borderId="0" xfId="42" applyNumberFormat="1" applyFont="1" applyFill="1" applyAlignment="1">
      <alignment/>
    </xf>
    <xf numFmtId="171" fontId="0" fillId="0" borderId="14" xfId="42" applyNumberFormat="1" applyFont="1" applyFill="1" applyBorder="1" applyAlignment="1">
      <alignment/>
    </xf>
    <xf numFmtId="0" fontId="0" fillId="0" borderId="0" xfId="57" applyFont="1" applyFill="1" applyAlignment="1">
      <alignment horizontal="left" vertical="center"/>
      <protection/>
    </xf>
    <xf numFmtId="171" fontId="0" fillId="0" borderId="0" xfId="42" applyNumberFormat="1" applyFont="1" applyFill="1" applyBorder="1" applyAlignment="1">
      <alignment/>
    </xf>
    <xf numFmtId="171" fontId="0" fillId="0" borderId="13" xfId="0" applyNumberFormat="1" applyFont="1" applyBorder="1" applyAlignment="1">
      <alignment/>
    </xf>
    <xf numFmtId="0" fontId="10" fillId="0" borderId="0" xfId="0" applyFont="1" applyAlignment="1">
      <alignment/>
    </xf>
    <xf numFmtId="171" fontId="0" fillId="0" borderId="0" xfId="42" applyNumberFormat="1" applyFont="1" applyFill="1" applyAlignment="1">
      <alignment/>
    </xf>
    <xf numFmtId="171" fontId="3" fillId="0" borderId="0" xfId="42" applyNumberFormat="1" applyFont="1" applyFill="1" applyAlignment="1">
      <alignment horizontal="center"/>
    </xf>
    <xf numFmtId="171" fontId="6" fillId="0" borderId="0" xfId="42" applyNumberFormat="1" applyFont="1" applyFill="1" applyAlignment="1">
      <alignment/>
    </xf>
    <xf numFmtId="171" fontId="0" fillId="0" borderId="0" xfId="42" applyNumberFormat="1" applyFont="1" applyFill="1" applyAlignment="1">
      <alignment/>
    </xf>
    <xf numFmtId="174" fontId="0" fillId="0" borderId="0" xfId="42" applyNumberFormat="1" applyFont="1" applyAlignment="1">
      <alignment/>
    </xf>
    <xf numFmtId="43" fontId="6" fillId="0" borderId="0" xfId="0" applyNumberFormat="1" applyFont="1" applyAlignment="1">
      <alignment/>
    </xf>
    <xf numFmtId="0" fontId="0" fillId="0" borderId="0" xfId="0" applyFont="1" applyAlignment="1">
      <alignment horizontal="right"/>
    </xf>
    <xf numFmtId="171" fontId="0" fillId="0" borderId="0" xfId="42" applyNumberFormat="1" applyFont="1" applyBorder="1" applyAlignment="1">
      <alignment horizontal="center"/>
    </xf>
    <xf numFmtId="0" fontId="10" fillId="0" borderId="0" xfId="0" applyFont="1" applyFill="1" applyAlignment="1">
      <alignment/>
    </xf>
    <xf numFmtId="43" fontId="0" fillId="0" borderId="0" xfId="42" applyFont="1" applyFill="1" applyAlignment="1">
      <alignment/>
    </xf>
    <xf numFmtId="0" fontId="0" fillId="0" borderId="0" xfId="0" applyFont="1" applyFill="1" applyBorder="1" applyAlignment="1">
      <alignment/>
    </xf>
    <xf numFmtId="171" fontId="0" fillId="0" borderId="0" xfId="42" applyNumberFormat="1" applyFont="1" applyAlignment="1">
      <alignment/>
    </xf>
    <xf numFmtId="171" fontId="2" fillId="0" borderId="0" xfId="42" applyNumberFormat="1" applyFont="1" applyFill="1" applyAlignment="1">
      <alignment horizontal="center"/>
    </xf>
    <xf numFmtId="171" fontId="0" fillId="0" borderId="0" xfId="42" applyNumberFormat="1" applyFont="1" applyFill="1" applyAlignment="1">
      <alignment horizontal="center"/>
    </xf>
    <xf numFmtId="43" fontId="6" fillId="0" borderId="0" xfId="42" applyNumberFormat="1" applyFont="1" applyAlignment="1">
      <alignment/>
    </xf>
    <xf numFmtId="171" fontId="0" fillId="0" borderId="13" xfId="42" applyNumberFormat="1" applyFont="1" applyFill="1" applyBorder="1" applyAlignment="1">
      <alignment/>
    </xf>
    <xf numFmtId="43" fontId="0" fillId="0" borderId="13" xfId="42" applyNumberFormat="1" applyFont="1" applyBorder="1" applyAlignment="1">
      <alignment/>
    </xf>
    <xf numFmtId="43" fontId="6" fillId="22" borderId="0" xfId="0" applyNumberFormat="1" applyFont="1" applyFill="1" applyAlignment="1">
      <alignment/>
    </xf>
    <xf numFmtId="43" fontId="0" fillId="0" borderId="0" xfId="42" applyNumberFormat="1" applyFont="1" applyBorder="1" applyAlignment="1">
      <alignment/>
    </xf>
    <xf numFmtId="43" fontId="8" fillId="0" borderId="0" xfId="0" applyNumberFormat="1" applyFont="1" applyAlignment="1">
      <alignment/>
    </xf>
    <xf numFmtId="43" fontId="0" fillId="22" borderId="0" xfId="42" applyNumberFormat="1" applyFont="1" applyFill="1" applyAlignment="1">
      <alignment/>
    </xf>
    <xf numFmtId="43" fontId="0" fillId="22" borderId="0" xfId="0" applyNumberFormat="1" applyFill="1" applyAlignment="1">
      <alignment/>
    </xf>
    <xf numFmtId="43" fontId="9" fillId="0" borderId="0" xfId="0" applyNumberFormat="1" applyFont="1" applyAlignment="1">
      <alignment/>
    </xf>
    <xf numFmtId="43" fontId="9" fillId="0" borderId="0" xfId="0" applyNumberFormat="1" applyFont="1" applyAlignment="1">
      <alignment horizontal="center"/>
    </xf>
    <xf numFmtId="43" fontId="0" fillId="0" borderId="18" xfId="42" applyNumberFormat="1" applyFont="1" applyBorder="1" applyAlignment="1">
      <alignment/>
    </xf>
    <xf numFmtId="43" fontId="0" fillId="0" borderId="0" xfId="42" applyNumberFormat="1" applyFont="1" applyFill="1" applyBorder="1" applyAlignment="1">
      <alignment/>
    </xf>
    <xf numFmtId="43" fontId="0" fillId="0" borderId="0" xfId="42" applyNumberFormat="1" applyFont="1" applyAlignment="1">
      <alignment horizontal="center"/>
    </xf>
    <xf numFmtId="43" fontId="0" fillId="0" borderId="0" xfId="42" applyNumberFormat="1" applyFont="1" applyFill="1" applyAlignment="1">
      <alignment/>
    </xf>
    <xf numFmtId="43" fontId="0" fillId="0" borderId="0" xfId="42" applyNumberFormat="1" applyFont="1" applyFill="1" applyBorder="1" applyAlignment="1">
      <alignment/>
    </xf>
    <xf numFmtId="43" fontId="0" fillId="0" borderId="0" xfId="42" applyFont="1" applyFill="1" applyAlignment="1">
      <alignment/>
    </xf>
    <xf numFmtId="43" fontId="0" fillId="0" borderId="13" xfId="42" applyFont="1" applyBorder="1" applyAlignment="1">
      <alignment/>
    </xf>
    <xf numFmtId="177" fontId="0" fillId="0" borderId="0" xfId="0" applyNumberFormat="1" applyAlignment="1">
      <alignment/>
    </xf>
    <xf numFmtId="43" fontId="0" fillId="0" borderId="0" xfId="42" applyFont="1" applyAlignment="1">
      <alignment/>
    </xf>
    <xf numFmtId="37" fontId="0" fillId="0" borderId="0" xfId="0" applyNumberFormat="1" applyAlignment="1">
      <alignment/>
    </xf>
    <xf numFmtId="171" fontId="0" fillId="0" borderId="13" xfId="0" applyNumberFormat="1" applyBorder="1" applyAlignment="1">
      <alignment/>
    </xf>
    <xf numFmtId="0" fontId="18" fillId="0" borderId="0" xfId="0" applyFont="1" applyAlignment="1">
      <alignment horizontal="center"/>
    </xf>
    <xf numFmtId="175" fontId="0" fillId="0" borderId="0" xfId="61" applyNumberFormat="1" applyFont="1" applyAlignment="1">
      <alignment/>
    </xf>
    <xf numFmtId="9" fontId="0" fillId="0" borderId="0" xfId="61" applyFont="1" applyAlignment="1">
      <alignment/>
    </xf>
    <xf numFmtId="0" fontId="0" fillId="0" borderId="0" xfId="0" applyFill="1" applyAlignment="1">
      <alignment/>
    </xf>
    <xf numFmtId="171" fontId="0" fillId="0" borderId="0" xfId="0" applyNumberFormat="1" applyFont="1" applyAlignment="1">
      <alignment horizontal="center"/>
    </xf>
    <xf numFmtId="171" fontId="0" fillId="0" borderId="13" xfId="0" applyNumberFormat="1" applyFont="1" applyFill="1" applyBorder="1" applyAlignment="1">
      <alignment/>
    </xf>
    <xf numFmtId="171" fontId="2" fillId="0" borderId="0" xfId="42" applyNumberFormat="1" applyFont="1" applyFill="1" applyAlignment="1" quotePrefix="1">
      <alignment horizontal="center"/>
    </xf>
    <xf numFmtId="171" fontId="0" fillId="0" borderId="13" xfId="42" applyNumberFormat="1" applyFont="1" applyFill="1" applyBorder="1" applyAlignment="1">
      <alignment/>
    </xf>
    <xf numFmtId="171" fontId="0" fillId="0" borderId="0" xfId="42" applyNumberFormat="1" applyFont="1" applyFill="1" applyBorder="1" applyAlignment="1">
      <alignment/>
    </xf>
    <xf numFmtId="171" fontId="1" fillId="0" borderId="0" xfId="42" applyNumberFormat="1" applyFont="1" applyFill="1" applyAlignment="1">
      <alignment/>
    </xf>
    <xf numFmtId="0" fontId="2" fillId="0" borderId="0" xfId="0" applyFont="1" applyFill="1" applyAlignment="1">
      <alignment/>
    </xf>
    <xf numFmtId="43" fontId="0" fillId="0" borderId="0" xfId="0" applyNumberFormat="1" applyFont="1" applyFill="1" applyAlignment="1">
      <alignment/>
    </xf>
    <xf numFmtId="43" fontId="0" fillId="0" borderId="0" xfId="42" applyNumberFormat="1" applyFont="1" applyFill="1" applyAlignment="1">
      <alignment horizontal="center"/>
    </xf>
    <xf numFmtId="43" fontId="0" fillId="0" borderId="0" xfId="42" applyNumberFormat="1" applyFont="1" applyFill="1" applyAlignment="1" quotePrefix="1">
      <alignment horizontal="center"/>
    </xf>
    <xf numFmtId="171" fontId="0" fillId="0" borderId="0" xfId="0" applyNumberFormat="1" applyFont="1" applyFill="1" applyAlignment="1">
      <alignment/>
    </xf>
    <xf numFmtId="43" fontId="0" fillId="0" borderId="0" xfId="42" applyFont="1" applyBorder="1" applyAlignment="1">
      <alignment/>
    </xf>
    <xf numFmtId="171" fontId="0" fillId="0" borderId="0" xfId="0" applyNumberFormat="1" applyFont="1" applyFill="1" applyBorder="1" applyAlignment="1">
      <alignment/>
    </xf>
    <xf numFmtId="43" fontId="0" fillId="0" borderId="0" xfId="42" applyFont="1" applyAlignment="1">
      <alignment horizontal="right"/>
    </xf>
    <xf numFmtId="43" fontId="0" fillId="0" borderId="0" xfId="42" applyNumberFormat="1" applyFont="1" applyAlignment="1">
      <alignment horizontal="right"/>
    </xf>
    <xf numFmtId="0" fontId="18" fillId="0" borderId="0" xfId="0" applyFont="1" applyAlignment="1">
      <alignment/>
    </xf>
    <xf numFmtId="0" fontId="0" fillId="0" borderId="0" xfId="0" applyAlignment="1" quotePrefix="1">
      <alignment/>
    </xf>
    <xf numFmtId="171" fontId="21" fillId="0" borderId="0" xfId="42" applyNumberFormat="1" applyFont="1" applyAlignment="1">
      <alignment horizontal="center"/>
    </xf>
    <xf numFmtId="171" fontId="21" fillId="0" borderId="0" xfId="42" applyNumberFormat="1" applyFont="1" applyBorder="1" applyAlignment="1">
      <alignment horizontal="center"/>
    </xf>
    <xf numFmtId="171" fontId="0" fillId="3" borderId="0" xfId="42" applyNumberFormat="1" applyFont="1" applyFill="1" applyBorder="1" applyAlignment="1">
      <alignment/>
    </xf>
    <xf numFmtId="171" fontId="0" fillId="3" borderId="17" xfId="42" applyNumberFormat="1" applyFont="1" applyFill="1" applyBorder="1" applyAlignment="1">
      <alignment/>
    </xf>
    <xf numFmtId="171" fontId="21" fillId="0" borderId="0" xfId="42" applyNumberFormat="1" applyFont="1" applyBorder="1" applyAlignment="1">
      <alignment horizontal="left"/>
    </xf>
    <xf numFmtId="0" fontId="0" fillId="0" borderId="0" xfId="0" applyBorder="1" applyAlignment="1">
      <alignment horizontal="left"/>
    </xf>
    <xf numFmtId="43" fontId="22" fillId="0" borderId="0" xfId="0" applyNumberFormat="1" applyFont="1" applyBorder="1" applyAlignment="1">
      <alignment horizontal="left"/>
    </xf>
    <xf numFmtId="171" fontId="0" fillId="3" borderId="17" xfId="0" applyNumberFormat="1" applyFill="1" applyBorder="1" applyAlignment="1">
      <alignment/>
    </xf>
    <xf numFmtId="0" fontId="21" fillId="0" borderId="0" xfId="0" applyNumberFormat="1" applyFont="1" applyAlignment="1">
      <alignment horizontal="center"/>
    </xf>
    <xf numFmtId="0" fontId="0" fillId="3" borderId="17" xfId="0" applyFill="1" applyBorder="1" applyAlignment="1">
      <alignment/>
    </xf>
    <xf numFmtId="0" fontId="22" fillId="0" borderId="0" xfId="0" applyNumberFormat="1" applyFont="1" applyAlignment="1">
      <alignment horizontal="center"/>
    </xf>
    <xf numFmtId="43" fontId="0" fillId="0" borderId="0" xfId="0" applyNumberFormat="1" applyBorder="1" applyAlignment="1">
      <alignment/>
    </xf>
    <xf numFmtId="43" fontId="0" fillId="0" borderId="14" xfId="0" applyNumberFormat="1" applyBorder="1" applyAlignment="1">
      <alignment horizontal="center"/>
    </xf>
    <xf numFmtId="171" fontId="0" fillId="0" borderId="0" xfId="0" applyNumberFormat="1" applyFill="1" applyBorder="1" applyAlignment="1">
      <alignment/>
    </xf>
    <xf numFmtId="0" fontId="21" fillId="0" borderId="0" xfId="0" applyNumberFormat="1" applyFont="1" applyFill="1" applyAlignment="1">
      <alignment horizontal="center"/>
    </xf>
    <xf numFmtId="0" fontId="0" fillId="0" borderId="0" xfId="0" applyFill="1" applyBorder="1" applyAlignment="1">
      <alignment/>
    </xf>
    <xf numFmtId="0" fontId="22" fillId="0" borderId="0" xfId="0" applyNumberFormat="1" applyFont="1" applyFill="1" applyAlignment="1">
      <alignment horizontal="center"/>
    </xf>
    <xf numFmtId="171" fontId="0" fillId="22" borderId="0" xfId="42" applyNumberFormat="1" applyFont="1" applyFill="1" applyBorder="1" applyAlignment="1">
      <alignment/>
    </xf>
    <xf numFmtId="0" fontId="0" fillId="22" borderId="0" xfId="0" applyFill="1" applyAlignment="1">
      <alignment/>
    </xf>
    <xf numFmtId="43" fontId="0" fillId="0" borderId="0" xfId="42" applyNumberFormat="1" applyFont="1" applyFill="1" applyAlignment="1">
      <alignment horizontal="right"/>
    </xf>
    <xf numFmtId="171" fontId="0" fillId="0" borderId="14" xfId="42" applyNumberFormat="1" applyFont="1" applyFill="1" applyBorder="1" applyAlignment="1">
      <alignment/>
    </xf>
    <xf numFmtId="43" fontId="0" fillId="0" borderId="0" xfId="42" applyFont="1" applyFill="1" applyBorder="1" applyAlignment="1">
      <alignment/>
    </xf>
    <xf numFmtId="171" fontId="0" fillId="0" borderId="0" xfId="42" applyNumberFormat="1" applyFont="1" applyFill="1" applyAlignment="1">
      <alignment/>
    </xf>
    <xf numFmtId="171" fontId="0" fillId="0" borderId="0" xfId="42" applyNumberFormat="1" applyFont="1" applyFill="1" applyAlignment="1">
      <alignment horizontal="center"/>
    </xf>
    <xf numFmtId="43" fontId="0" fillId="0" borderId="0" xfId="42" applyNumberFormat="1" applyFont="1" applyFill="1" applyAlignment="1">
      <alignment/>
    </xf>
    <xf numFmtId="43" fontId="0" fillId="0" borderId="0" xfId="42" applyFont="1" applyFill="1" applyAlignment="1">
      <alignment/>
    </xf>
    <xf numFmtId="43" fontId="0" fillId="0" borderId="0" xfId="42" applyNumberFormat="1" applyFont="1" applyFill="1" applyBorder="1" applyAlignment="1">
      <alignment/>
    </xf>
    <xf numFmtId="171" fontId="0" fillId="0" borderId="0" xfId="42" applyNumberFormat="1" applyFont="1" applyFill="1" applyAlignment="1">
      <alignment horizontal="right"/>
    </xf>
    <xf numFmtId="43" fontId="0" fillId="0" borderId="10" xfId="42" applyNumberFormat="1" applyFont="1" applyFill="1" applyBorder="1" applyAlignment="1">
      <alignment/>
    </xf>
    <xf numFmtId="43" fontId="0" fillId="0" borderId="19" xfId="42" applyNumberFormat="1" applyFont="1" applyFill="1" applyBorder="1" applyAlignment="1">
      <alignment/>
    </xf>
    <xf numFmtId="171" fontId="0" fillId="0" borderId="0" xfId="42" applyNumberFormat="1" applyFont="1" applyFill="1" applyBorder="1" applyAlignment="1">
      <alignment horizontal="center"/>
    </xf>
    <xf numFmtId="171" fontId="0" fillId="0" borderId="10" xfId="42" applyNumberFormat="1" applyFont="1" applyFill="1" applyBorder="1" applyAlignment="1">
      <alignment/>
    </xf>
    <xf numFmtId="171" fontId="0" fillId="0" borderId="10" xfId="42" applyNumberFormat="1" applyFont="1" applyBorder="1" applyAlignment="1">
      <alignment/>
    </xf>
    <xf numFmtId="43" fontId="0" fillId="0" borderId="11" xfId="42" applyNumberFormat="1" applyFont="1" applyFill="1" applyBorder="1" applyAlignment="1">
      <alignment/>
    </xf>
    <xf numFmtId="43" fontId="0" fillId="0" borderId="20" xfId="42" applyNumberFormat="1" applyFont="1" applyFill="1" applyBorder="1" applyAlignment="1">
      <alignment/>
    </xf>
    <xf numFmtId="171" fontId="0" fillId="0" borderId="0" xfId="42" applyNumberFormat="1" applyFont="1" applyFill="1" applyBorder="1" applyAlignment="1" quotePrefix="1">
      <alignment horizontal="center"/>
    </xf>
    <xf numFmtId="171" fontId="0" fillId="0" borderId="11" xfId="42" applyNumberFormat="1" applyFont="1" applyFill="1" applyBorder="1" applyAlignment="1">
      <alignment/>
    </xf>
    <xf numFmtId="171" fontId="0" fillId="0" borderId="11" xfId="42" applyNumberFormat="1" applyFont="1" applyBorder="1" applyAlignment="1">
      <alignment/>
    </xf>
    <xf numFmtId="43" fontId="0" fillId="0" borderId="12" xfId="42" applyNumberFormat="1" applyFont="1" applyFill="1" applyBorder="1" applyAlignment="1">
      <alignment/>
    </xf>
    <xf numFmtId="43" fontId="0" fillId="0" borderId="21" xfId="42" applyNumberFormat="1" applyFont="1" applyFill="1" applyBorder="1" applyAlignment="1">
      <alignment/>
    </xf>
    <xf numFmtId="171" fontId="0" fillId="0" borderId="12" xfId="42" applyNumberFormat="1" applyFont="1" applyFill="1" applyBorder="1" applyAlignment="1">
      <alignment/>
    </xf>
    <xf numFmtId="171" fontId="0" fillId="0" borderId="12" xfId="42" applyNumberFormat="1" applyFont="1" applyBorder="1" applyAlignment="1">
      <alignment/>
    </xf>
    <xf numFmtId="43" fontId="0" fillId="0" borderId="22" xfId="42" applyNumberFormat="1" applyFont="1" applyFill="1" applyBorder="1" applyAlignment="1">
      <alignment/>
    </xf>
    <xf numFmtId="43" fontId="0" fillId="0" borderId="23" xfId="42" applyNumberFormat="1" applyFont="1" applyBorder="1" applyAlignment="1">
      <alignment/>
    </xf>
    <xf numFmtId="43" fontId="0" fillId="0" borderId="23" xfId="42" applyNumberFormat="1" applyFont="1" applyFill="1" applyBorder="1" applyAlignment="1">
      <alignment/>
    </xf>
    <xf numFmtId="43" fontId="0" fillId="0" borderId="24" xfId="42" applyNumberFormat="1" applyFont="1" applyFill="1" applyBorder="1" applyAlignment="1">
      <alignment/>
    </xf>
    <xf numFmtId="43" fontId="0" fillId="0" borderId="13" xfId="42" applyNumberFormat="1" applyFont="1" applyFill="1" applyBorder="1" applyAlignment="1">
      <alignment/>
    </xf>
    <xf numFmtId="171" fontId="0" fillId="0" borderId="13" xfId="42" applyNumberFormat="1" applyFont="1" applyFill="1" applyBorder="1" applyAlignment="1">
      <alignment/>
    </xf>
    <xf numFmtId="171" fontId="0" fillId="0" borderId="13" xfId="42" applyNumberFormat="1" applyFont="1" applyBorder="1" applyAlignment="1">
      <alignment/>
    </xf>
    <xf numFmtId="43" fontId="0" fillId="0" borderId="0" xfId="42" applyFont="1" applyFill="1" applyAlignment="1" quotePrefix="1">
      <alignment horizontal="right"/>
    </xf>
    <xf numFmtId="43" fontId="0" fillId="0" borderId="14" xfId="42" applyNumberFormat="1" applyFont="1" applyFill="1" applyBorder="1" applyAlignment="1">
      <alignment/>
    </xf>
    <xf numFmtId="171" fontId="0" fillId="0" borderId="14" xfId="42" applyNumberFormat="1" applyFont="1" applyFill="1" applyBorder="1" applyAlignment="1">
      <alignment/>
    </xf>
    <xf numFmtId="171" fontId="0" fillId="0" borderId="0" xfId="42" applyNumberFormat="1" applyFont="1" applyFill="1" applyBorder="1" applyAlignment="1">
      <alignment/>
    </xf>
    <xf numFmtId="49" fontId="0" fillId="0" borderId="0" xfId="42" applyNumberFormat="1" applyFont="1" applyFill="1" applyAlignment="1">
      <alignment horizontal="center"/>
    </xf>
    <xf numFmtId="0" fontId="2" fillId="0" borderId="0" xfId="0" applyFont="1" applyFill="1" applyBorder="1" applyAlignment="1">
      <alignment horizontal="left"/>
    </xf>
    <xf numFmtId="171" fontId="0" fillId="0" borderId="0" xfId="0" applyNumberFormat="1" applyBorder="1" applyAlignment="1">
      <alignment/>
    </xf>
    <xf numFmtId="9" fontId="0" fillId="0" borderId="0" xfId="61" applyFont="1" applyBorder="1" applyAlignment="1">
      <alignment/>
    </xf>
    <xf numFmtId="175" fontId="0" fillId="0" borderId="0" xfId="61" applyNumberFormat="1" applyFont="1" applyBorder="1" applyAlignment="1">
      <alignment/>
    </xf>
    <xf numFmtId="171" fontId="0" fillId="0" borderId="0" xfId="0" applyNumberFormat="1" applyFill="1" applyAlignment="1">
      <alignment/>
    </xf>
    <xf numFmtId="0" fontId="2" fillId="0" borderId="14" xfId="0" applyFont="1" applyFill="1" applyBorder="1" applyAlignment="1">
      <alignment horizontal="center"/>
    </xf>
    <xf numFmtId="171" fontId="0" fillId="0" borderId="13" xfId="42" applyNumberFormat="1" applyFont="1" applyFill="1" applyBorder="1" applyAlignment="1" quotePrefix="1">
      <alignment horizontal="center"/>
    </xf>
    <xf numFmtId="171" fontId="0" fillId="0" borderId="0" xfId="42" applyNumberFormat="1" applyFont="1" applyFill="1" applyAlignment="1" quotePrefix="1">
      <alignment horizontal="center"/>
    </xf>
    <xf numFmtId="171" fontId="0" fillId="0" borderId="0" xfId="42" applyNumberFormat="1" applyFont="1" applyAlignment="1">
      <alignment horizontal="center"/>
    </xf>
    <xf numFmtId="43" fontId="10" fillId="0" borderId="23" xfId="42" applyFont="1" applyBorder="1" applyAlignment="1">
      <alignment horizontal="center"/>
    </xf>
    <xf numFmtId="171" fontId="2" fillId="0" borderId="14" xfId="42" applyNumberFormat="1" applyFont="1" applyBorder="1" applyAlignment="1">
      <alignment horizontal="center"/>
    </xf>
    <xf numFmtId="0" fontId="0" fillId="0" borderId="0" xfId="0" applyFont="1" applyAlignment="1">
      <alignment horizontal="justify" vertical="center" wrapText="1"/>
    </xf>
    <xf numFmtId="0" fontId="0" fillId="0" borderId="0" xfId="0" applyAlignment="1">
      <alignment/>
    </xf>
    <xf numFmtId="0" fontId="0" fillId="0" borderId="0" xfId="0" applyAlignment="1">
      <alignment horizontal="justify" vertical="center" wrapText="1"/>
    </xf>
    <xf numFmtId="0" fontId="0" fillId="0" borderId="0" xfId="0" applyAlignment="1">
      <alignment horizontal="center"/>
    </xf>
    <xf numFmtId="0" fontId="0" fillId="0" borderId="0" xfId="0" applyFont="1" applyAlignment="1">
      <alignment horizontal="justify" wrapText="1"/>
    </xf>
    <xf numFmtId="0" fontId="0" fillId="0" borderId="0" xfId="0" applyAlignment="1">
      <alignment horizontal="justify" wrapText="1"/>
    </xf>
    <xf numFmtId="0" fontId="2" fillId="0" borderId="0" xfId="0" applyFont="1" applyFill="1" applyAlignment="1">
      <alignment horizontal="center"/>
    </xf>
    <xf numFmtId="171" fontId="10" fillId="0" borderId="23" xfId="42" applyNumberFormat="1" applyFont="1" applyBorder="1" applyAlignment="1">
      <alignment/>
    </xf>
    <xf numFmtId="171" fontId="10" fillId="0" borderId="20" xfId="42" applyNumberFormat="1" applyFont="1" applyBorder="1" applyAlignment="1">
      <alignment/>
    </xf>
    <xf numFmtId="0" fontId="10" fillId="0" borderId="22" xfId="0" applyFont="1" applyBorder="1" applyAlignment="1">
      <alignment horizontal="center"/>
    </xf>
    <xf numFmtId="0" fontId="10" fillId="0" borderId="19"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171" fontId="10" fillId="0" borderId="27" xfId="0" applyNumberFormat="1" applyFont="1" applyBorder="1" applyAlignment="1">
      <alignment horizontal="center"/>
    </xf>
    <xf numFmtId="171" fontId="10" fillId="0" borderId="28" xfId="0" applyNumberFormat="1" applyFont="1" applyBorder="1" applyAlignment="1">
      <alignment horizontal="center"/>
    </xf>
    <xf numFmtId="171" fontId="10" fillId="0" borderId="24" xfId="0" applyNumberFormat="1" applyFont="1" applyBorder="1" applyAlignment="1">
      <alignment horizontal="center"/>
    </xf>
    <xf numFmtId="171" fontId="10" fillId="0" borderId="21" xfId="0" applyNumberFormat="1" applyFont="1" applyBorder="1" applyAlignment="1">
      <alignment horizontal="center"/>
    </xf>
    <xf numFmtId="171" fontId="10" fillId="0" borderId="23" xfId="42" applyNumberFormat="1" applyFont="1" applyBorder="1" applyAlignment="1">
      <alignment horizontal="center"/>
    </xf>
    <xf numFmtId="171" fontId="10" fillId="0" borderId="20" xfId="42" applyNumberFormat="1" applyFont="1" applyBorder="1" applyAlignment="1">
      <alignment horizontal="center"/>
    </xf>
    <xf numFmtId="43" fontId="10" fillId="0" borderId="20" xfId="42" applyFont="1" applyBorder="1" applyAlignment="1">
      <alignment horizontal="center"/>
    </xf>
    <xf numFmtId="171" fontId="10" fillId="0" borderId="22" xfId="0" applyNumberFormat="1" applyFont="1" applyBorder="1" applyAlignment="1">
      <alignment horizontal="center"/>
    </xf>
    <xf numFmtId="171" fontId="10" fillId="0" borderId="19" xfId="0" applyNumberFormat="1" applyFont="1" applyBorder="1" applyAlignment="1">
      <alignment horizontal="center"/>
    </xf>
    <xf numFmtId="43" fontId="10" fillId="0" borderId="24" xfId="42" applyFont="1" applyBorder="1" applyAlignment="1">
      <alignment horizontal="center"/>
    </xf>
    <xf numFmtId="43" fontId="10" fillId="0" borderId="21" xfId="42" applyFont="1" applyBorder="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0" fillId="0" borderId="25" xfId="0" applyFont="1" applyBorder="1" applyAlignment="1">
      <alignment horizontal="center" wrapText="1"/>
    </xf>
    <xf numFmtId="0" fontId="10" fillId="0" borderId="26" xfId="0" applyFont="1" applyBorder="1" applyAlignment="1">
      <alignment horizontal="center" wrapText="1"/>
    </xf>
    <xf numFmtId="0" fontId="10" fillId="0" borderId="29" xfId="0" applyFont="1" applyBorder="1" applyAlignment="1">
      <alignment horizontal="center"/>
    </xf>
    <xf numFmtId="0" fontId="10" fillId="0" borderId="25" xfId="0" applyFont="1" applyBorder="1" applyAlignment="1">
      <alignment horizontal="center"/>
    </xf>
    <xf numFmtId="0" fontId="10" fillId="0" borderId="29" xfId="0" applyFont="1" applyBorder="1" applyAlignment="1">
      <alignment horizontal="center"/>
    </xf>
    <xf numFmtId="0" fontId="10" fillId="0" borderId="26" xfId="0" applyFont="1" applyBorder="1" applyAlignment="1">
      <alignment horizontal="center"/>
    </xf>
    <xf numFmtId="0" fontId="0" fillId="0" borderId="0" xfId="57" applyFont="1" applyFill="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QuarterlyTemplat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11</xdr:col>
      <xdr:colOff>561975</xdr:colOff>
      <xdr:row>18</xdr:row>
      <xdr:rowOff>0</xdr:rowOff>
    </xdr:to>
    <xdr:sp>
      <xdr:nvSpPr>
        <xdr:cNvPr id="1" name="Text Box 1"/>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 name="Text Box 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realized or unrealized,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2</xdr:col>
      <xdr:colOff>9525</xdr:colOff>
      <xdr:row>18</xdr:row>
      <xdr:rowOff>0</xdr:rowOff>
    </xdr:from>
    <xdr:to>
      <xdr:col>11</xdr:col>
      <xdr:colOff>600075</xdr:colOff>
      <xdr:row>18</xdr:row>
      <xdr:rowOff>0</xdr:rowOff>
    </xdr:to>
    <xdr:sp>
      <xdr:nvSpPr>
        <xdr:cNvPr id="3" name="Text Box 4"/>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financial statements of the Group and of the Company are prepared under the historical cost convention, unless otherwise indicated in the other significant accounting policies.</a:t>
          </a:r>
        </a:p>
      </xdr:txBody>
    </xdr:sp>
    <xdr:clientData/>
  </xdr:twoCellAnchor>
  <xdr:twoCellAnchor>
    <xdr:from>
      <xdr:col>2</xdr:col>
      <xdr:colOff>0</xdr:colOff>
      <xdr:row>18</xdr:row>
      <xdr:rowOff>0</xdr:rowOff>
    </xdr:from>
    <xdr:to>
      <xdr:col>11</xdr:col>
      <xdr:colOff>542925</xdr:colOff>
      <xdr:row>18</xdr:row>
      <xdr:rowOff>0</xdr:rowOff>
    </xdr:to>
    <xdr:sp>
      <xdr:nvSpPr>
        <xdr:cNvPr id="4" name="Text Box 5"/>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5" name="Text Box 6"/>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6" name="Text Box 7"/>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7" name="Text Box 9"/>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8" name="Text Box 10"/>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Intereset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9" name="Text Box 11"/>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10" name="Text Box 12"/>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1</xdr:col>
      <xdr:colOff>304800</xdr:colOff>
      <xdr:row>18</xdr:row>
      <xdr:rowOff>0</xdr:rowOff>
    </xdr:from>
    <xdr:to>
      <xdr:col>11</xdr:col>
      <xdr:colOff>552450</xdr:colOff>
      <xdr:row>18</xdr:row>
      <xdr:rowOff>0</xdr:rowOff>
    </xdr:to>
    <xdr:sp>
      <xdr:nvSpPr>
        <xdr:cNvPr id="11" name="Text Box 13"/>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2" name="Text Box 14"/>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1</xdr:col>
      <xdr:colOff>0</xdr:colOff>
      <xdr:row>64</xdr:row>
      <xdr:rowOff>104775</xdr:rowOff>
    </xdr:from>
    <xdr:to>
      <xdr:col>11</xdr:col>
      <xdr:colOff>552450</xdr:colOff>
      <xdr:row>66</xdr:row>
      <xdr:rowOff>19050</xdr:rowOff>
    </xdr:to>
    <xdr:sp>
      <xdr:nvSpPr>
        <xdr:cNvPr id="13" name="Text Box 23"/>
        <xdr:cNvSpPr txBox="1">
          <a:spLocks noChangeArrowheads="1"/>
        </xdr:cNvSpPr>
      </xdr:nvSpPr>
      <xdr:spPr>
        <a:xfrm>
          <a:off x="428625" y="12753975"/>
          <a:ext cx="7677150" cy="3333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major changes in the composition of the Group for the current quarter under review.
</a:t>
          </a:r>
          <a:r>
            <a:rPr lang="en-US" cap="none" sz="11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561975</xdr:colOff>
      <xdr:row>18</xdr:row>
      <xdr:rowOff>0</xdr:rowOff>
    </xdr:to>
    <xdr:sp>
      <xdr:nvSpPr>
        <xdr:cNvPr id="14" name="Text Box 28"/>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5" name="Text Box 29"/>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realised or unrealised,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0</xdr:col>
      <xdr:colOff>409575</xdr:colOff>
      <xdr:row>9</xdr:row>
      <xdr:rowOff>85725</xdr:rowOff>
    </xdr:from>
    <xdr:to>
      <xdr:col>11</xdr:col>
      <xdr:colOff>600075</xdr:colOff>
      <xdr:row>18</xdr:row>
      <xdr:rowOff>57150</xdr:rowOff>
    </xdr:to>
    <xdr:sp>
      <xdr:nvSpPr>
        <xdr:cNvPr id="16" name="Text Box 30"/>
        <xdr:cNvSpPr txBox="1">
          <a:spLocks noChangeArrowheads="1"/>
        </xdr:cNvSpPr>
      </xdr:nvSpPr>
      <xdr:spPr>
        <a:xfrm>
          <a:off x="409575" y="1800225"/>
          <a:ext cx="7743825" cy="13620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interim financial statement are unaudited and have has been prepared in accordance with Paragraph 16, MASB 26 Interim Financial Reporting and Chapter 7 Part VI of the Listing Requirements of Bursa Malaysia Securities Berhad’s (“Bursa Securities”) for MESDAQ Market.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accounting policies adopted by CBS Technology Berhad and its subsidiary companies (“Group”) in this interim financial statements are consistent with those adopted for in the audited financial statements  for the financial year ended 31 December 2004.</a:t>
          </a:r>
        </a:p>
      </xdr:txBody>
    </xdr:sp>
    <xdr:clientData/>
  </xdr:twoCellAnchor>
  <xdr:twoCellAnchor>
    <xdr:from>
      <xdr:col>2</xdr:col>
      <xdr:colOff>0</xdr:colOff>
      <xdr:row>18</xdr:row>
      <xdr:rowOff>0</xdr:rowOff>
    </xdr:from>
    <xdr:to>
      <xdr:col>11</xdr:col>
      <xdr:colOff>542925</xdr:colOff>
      <xdr:row>18</xdr:row>
      <xdr:rowOff>0</xdr:rowOff>
    </xdr:to>
    <xdr:sp>
      <xdr:nvSpPr>
        <xdr:cNvPr id="17" name="Text Box 31"/>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18" name="Text Box 3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19" name="Text Box 33"/>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20" name="Text Box 35"/>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21" name="Text Box 36"/>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22" name="Text Box 37"/>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23" name="Text Box 38"/>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2</xdr:col>
      <xdr:colOff>0</xdr:colOff>
      <xdr:row>18</xdr:row>
      <xdr:rowOff>0</xdr:rowOff>
    </xdr:from>
    <xdr:to>
      <xdr:col>11</xdr:col>
      <xdr:colOff>552450</xdr:colOff>
      <xdr:row>18</xdr:row>
      <xdr:rowOff>0</xdr:rowOff>
    </xdr:to>
    <xdr:sp>
      <xdr:nvSpPr>
        <xdr:cNvPr id="24" name="Text Box 39"/>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5" name="Text Box 40"/>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0</xdr:col>
      <xdr:colOff>409575</xdr:colOff>
      <xdr:row>20</xdr:row>
      <xdr:rowOff>104775</xdr:rowOff>
    </xdr:from>
    <xdr:to>
      <xdr:col>11</xdr:col>
      <xdr:colOff>523875</xdr:colOff>
      <xdr:row>22</xdr:row>
      <xdr:rowOff>85725</xdr:rowOff>
    </xdr:to>
    <xdr:sp>
      <xdr:nvSpPr>
        <xdr:cNvPr id="26" name="Text Box 42"/>
        <xdr:cNvSpPr txBox="1">
          <a:spLocks noChangeArrowheads="1"/>
        </xdr:cNvSpPr>
      </xdr:nvSpPr>
      <xdr:spPr>
        <a:xfrm>
          <a:off x="409575" y="3629025"/>
          <a:ext cx="7667625" cy="4000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audit report of the preceeding financial statements for the year end 31 December 2003 was not subject to any audit qualification.</a:t>
          </a:r>
        </a:p>
      </xdr:txBody>
    </xdr:sp>
    <xdr:clientData/>
  </xdr:twoCellAnchor>
  <xdr:twoCellAnchor>
    <xdr:from>
      <xdr:col>1</xdr:col>
      <xdr:colOff>38100</xdr:colOff>
      <xdr:row>24</xdr:row>
      <xdr:rowOff>114300</xdr:rowOff>
    </xdr:from>
    <xdr:to>
      <xdr:col>11</xdr:col>
      <xdr:colOff>590550</xdr:colOff>
      <xdr:row>26</xdr:row>
      <xdr:rowOff>76200</xdr:rowOff>
    </xdr:to>
    <xdr:sp>
      <xdr:nvSpPr>
        <xdr:cNvPr id="27" name="Text Box 43"/>
        <xdr:cNvSpPr txBox="1">
          <a:spLocks noChangeArrowheads="1"/>
        </xdr:cNvSpPr>
      </xdr:nvSpPr>
      <xdr:spPr>
        <a:xfrm>
          <a:off x="466725" y="4476750"/>
          <a:ext cx="7677150"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results of the Group were not materially affected by any significant seasonal or cyclical factors during the current quarter under review.</a:t>
          </a:r>
        </a:p>
      </xdr:txBody>
    </xdr:sp>
    <xdr:clientData/>
  </xdr:twoCellAnchor>
  <xdr:twoCellAnchor>
    <xdr:from>
      <xdr:col>1</xdr:col>
      <xdr:colOff>66675</xdr:colOff>
      <xdr:row>28</xdr:row>
      <xdr:rowOff>104775</xdr:rowOff>
    </xdr:from>
    <xdr:to>
      <xdr:col>11</xdr:col>
      <xdr:colOff>590550</xdr:colOff>
      <xdr:row>30</xdr:row>
      <xdr:rowOff>66675</xdr:rowOff>
    </xdr:to>
    <xdr:sp>
      <xdr:nvSpPr>
        <xdr:cNvPr id="28" name="Text Box 44"/>
        <xdr:cNvSpPr txBox="1">
          <a:spLocks noChangeArrowheads="1"/>
        </xdr:cNvSpPr>
      </xdr:nvSpPr>
      <xdr:spPr>
        <a:xfrm>
          <a:off x="495300" y="5305425"/>
          <a:ext cx="7648575"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unusual items affecting assets, liabilities, equity, net income or cash flow during the current quarter under review.</a:t>
          </a:r>
        </a:p>
      </xdr:txBody>
    </xdr:sp>
    <xdr:clientData/>
  </xdr:twoCellAnchor>
  <xdr:twoCellAnchor>
    <xdr:from>
      <xdr:col>0</xdr:col>
      <xdr:colOff>409575</xdr:colOff>
      <xdr:row>32</xdr:row>
      <xdr:rowOff>123825</xdr:rowOff>
    </xdr:from>
    <xdr:to>
      <xdr:col>11</xdr:col>
      <xdr:colOff>542925</xdr:colOff>
      <xdr:row>34</xdr:row>
      <xdr:rowOff>161925</xdr:rowOff>
    </xdr:to>
    <xdr:sp>
      <xdr:nvSpPr>
        <xdr:cNvPr id="29" name="Text Box 45"/>
        <xdr:cNvSpPr txBox="1">
          <a:spLocks noChangeArrowheads="1"/>
        </xdr:cNvSpPr>
      </xdr:nvSpPr>
      <xdr:spPr>
        <a:xfrm>
          <a:off x="409575" y="6162675"/>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changes in estimates of amounts in prior financial period, which have a material effect in the current quarter under review.</a:t>
          </a:r>
        </a:p>
      </xdr:txBody>
    </xdr:sp>
    <xdr:clientData/>
  </xdr:twoCellAnchor>
  <xdr:twoCellAnchor>
    <xdr:from>
      <xdr:col>0</xdr:col>
      <xdr:colOff>390525</xdr:colOff>
      <xdr:row>47</xdr:row>
      <xdr:rowOff>114300</xdr:rowOff>
    </xdr:from>
    <xdr:to>
      <xdr:col>11</xdr:col>
      <xdr:colOff>523875</xdr:colOff>
      <xdr:row>49</xdr:row>
      <xdr:rowOff>0</xdr:rowOff>
    </xdr:to>
    <xdr:sp>
      <xdr:nvSpPr>
        <xdr:cNvPr id="30" name="Text Box 46"/>
        <xdr:cNvSpPr txBox="1">
          <a:spLocks noChangeArrowheads="1"/>
        </xdr:cNvSpPr>
      </xdr:nvSpPr>
      <xdr:spPr>
        <a:xfrm>
          <a:off x="390525" y="9296400"/>
          <a:ext cx="7686675"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dividend paid for the quarter under review.</a:t>
          </a:r>
        </a:p>
      </xdr:txBody>
    </xdr:sp>
    <xdr:clientData/>
  </xdr:twoCellAnchor>
  <xdr:twoCellAnchor>
    <xdr:from>
      <xdr:col>1</xdr:col>
      <xdr:colOff>47625</xdr:colOff>
      <xdr:row>56</xdr:row>
      <xdr:rowOff>104775</xdr:rowOff>
    </xdr:from>
    <xdr:to>
      <xdr:col>11</xdr:col>
      <xdr:colOff>571500</xdr:colOff>
      <xdr:row>58</xdr:row>
      <xdr:rowOff>28575</xdr:rowOff>
    </xdr:to>
    <xdr:sp>
      <xdr:nvSpPr>
        <xdr:cNvPr id="31" name="Text Box 47"/>
        <xdr:cNvSpPr txBox="1">
          <a:spLocks noChangeArrowheads="1"/>
        </xdr:cNvSpPr>
      </xdr:nvSpPr>
      <xdr:spPr>
        <a:xfrm>
          <a:off x="476250" y="11077575"/>
          <a:ext cx="7648575"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revalue any of its property, plant and equipment during the current quarter under review.</a:t>
          </a:r>
        </a:p>
      </xdr:txBody>
    </xdr:sp>
    <xdr:clientData/>
  </xdr:twoCellAnchor>
  <xdr:twoCellAnchor>
    <xdr:from>
      <xdr:col>0</xdr:col>
      <xdr:colOff>409575</xdr:colOff>
      <xdr:row>60</xdr:row>
      <xdr:rowOff>76200</xdr:rowOff>
    </xdr:from>
    <xdr:to>
      <xdr:col>11</xdr:col>
      <xdr:colOff>542925</xdr:colOff>
      <xdr:row>62</xdr:row>
      <xdr:rowOff>114300</xdr:rowOff>
    </xdr:to>
    <xdr:sp>
      <xdr:nvSpPr>
        <xdr:cNvPr id="32" name="Text Box 48"/>
        <xdr:cNvSpPr txBox="1">
          <a:spLocks noChangeArrowheads="1"/>
        </xdr:cNvSpPr>
      </xdr:nvSpPr>
      <xdr:spPr>
        <a:xfrm>
          <a:off x="409575" y="11887200"/>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As at the date of this report, there were no material events subsequent to the end of the current quarter reported on that have not been reflected in the quarter financial statement.</a:t>
          </a:r>
        </a:p>
      </xdr:txBody>
    </xdr:sp>
    <xdr:clientData/>
  </xdr:twoCellAnchor>
  <xdr:twoCellAnchor>
    <xdr:from>
      <xdr:col>0</xdr:col>
      <xdr:colOff>409575</xdr:colOff>
      <xdr:row>68</xdr:row>
      <xdr:rowOff>76200</xdr:rowOff>
    </xdr:from>
    <xdr:to>
      <xdr:col>11</xdr:col>
      <xdr:colOff>561975</xdr:colOff>
      <xdr:row>69</xdr:row>
      <xdr:rowOff>133350</xdr:rowOff>
    </xdr:to>
    <xdr:sp>
      <xdr:nvSpPr>
        <xdr:cNvPr id="33" name="Text Box 50"/>
        <xdr:cNvSpPr txBox="1">
          <a:spLocks noChangeArrowheads="1"/>
        </xdr:cNvSpPr>
      </xdr:nvSpPr>
      <xdr:spPr>
        <a:xfrm>
          <a:off x="409575" y="13601700"/>
          <a:ext cx="7705725" cy="266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contingent liabilities or contingent asset for the current quarter under review.</a:t>
          </a:r>
        </a:p>
      </xdr:txBody>
    </xdr:sp>
    <xdr:clientData/>
  </xdr:twoCellAnchor>
  <xdr:twoCellAnchor>
    <xdr:from>
      <xdr:col>1</xdr:col>
      <xdr:colOff>38100</xdr:colOff>
      <xdr:row>72</xdr:row>
      <xdr:rowOff>123825</xdr:rowOff>
    </xdr:from>
    <xdr:to>
      <xdr:col>11</xdr:col>
      <xdr:colOff>600075</xdr:colOff>
      <xdr:row>73</xdr:row>
      <xdr:rowOff>161925</xdr:rowOff>
    </xdr:to>
    <xdr:sp>
      <xdr:nvSpPr>
        <xdr:cNvPr id="34" name="Text Box 52"/>
        <xdr:cNvSpPr txBox="1">
          <a:spLocks noChangeArrowheads="1"/>
        </xdr:cNvSpPr>
      </xdr:nvSpPr>
      <xdr:spPr>
        <a:xfrm>
          <a:off x="466725" y="14487525"/>
          <a:ext cx="7686675" cy="2476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significant related pary transactions during the current quarter under review.</a:t>
          </a:r>
        </a:p>
      </xdr:txBody>
    </xdr:sp>
    <xdr:clientData/>
  </xdr:twoCellAnchor>
  <xdr:twoCellAnchor>
    <xdr:from>
      <xdr:col>0</xdr:col>
      <xdr:colOff>371475</xdr:colOff>
      <xdr:row>41</xdr:row>
      <xdr:rowOff>180975</xdr:rowOff>
    </xdr:from>
    <xdr:to>
      <xdr:col>11</xdr:col>
      <xdr:colOff>409575</xdr:colOff>
      <xdr:row>45</xdr:row>
      <xdr:rowOff>85725</xdr:rowOff>
    </xdr:to>
    <xdr:sp>
      <xdr:nvSpPr>
        <xdr:cNvPr id="35" name="Text Box 53"/>
        <xdr:cNvSpPr txBox="1">
          <a:spLocks noChangeArrowheads="1"/>
        </xdr:cNvSpPr>
      </xdr:nvSpPr>
      <xdr:spPr>
        <a:xfrm>
          <a:off x="371475" y="8105775"/>
          <a:ext cx="7591425" cy="742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Save as disclosed above, there were no issuance and repayment of debt securities, share buy-back, share cancellation, shares held as treasury shares and resale of treasury shares for the current quarter under review.
</a:t>
          </a:r>
        </a:p>
      </xdr:txBody>
    </xdr:sp>
    <xdr:clientData/>
  </xdr:twoCellAnchor>
  <xdr:twoCellAnchor>
    <xdr:from>
      <xdr:col>0</xdr:col>
      <xdr:colOff>371475</xdr:colOff>
      <xdr:row>80</xdr:row>
      <xdr:rowOff>9525</xdr:rowOff>
    </xdr:from>
    <xdr:to>
      <xdr:col>11</xdr:col>
      <xdr:colOff>381000</xdr:colOff>
      <xdr:row>85</xdr:row>
      <xdr:rowOff>47625</xdr:rowOff>
    </xdr:to>
    <xdr:sp>
      <xdr:nvSpPr>
        <xdr:cNvPr id="36" name="Text Box 54"/>
        <xdr:cNvSpPr txBox="1">
          <a:spLocks noChangeArrowheads="1"/>
        </xdr:cNvSpPr>
      </xdr:nvSpPr>
      <xdr:spPr>
        <a:xfrm>
          <a:off x="371475" y="15935325"/>
          <a:ext cx="7562850" cy="9429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achieved a revenue and profit after tax of approximately RM1.778million (Q3 : RM2.56million) and RM0.803million (Q3 : RM0.728million) respectively for the quarter under review.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a year to date basis, the Group achieved a revenue and profit after tax of approximately RM11.134million (Q3 : RM9.36 million) and RM3.52million (Q3 : RM2.71million) respectively.
</a:t>
          </a:r>
          <a:r>
            <a:rPr lang="en-US" cap="none" sz="1100" b="0" i="0" u="none" baseline="0">
              <a:solidFill>
                <a:srgbClr val="000000"/>
              </a:solidFill>
              <a:latin typeface="Arial"/>
              <a:ea typeface="Arial"/>
              <a:cs typeface="Arial"/>
            </a:rPr>
            <a:t> million respectively.</a:t>
          </a:r>
        </a:p>
      </xdr:txBody>
    </xdr:sp>
    <xdr:clientData/>
  </xdr:twoCellAnchor>
  <xdr:twoCellAnchor>
    <xdr:from>
      <xdr:col>1</xdr:col>
      <xdr:colOff>28575</xdr:colOff>
      <xdr:row>87</xdr:row>
      <xdr:rowOff>152400</xdr:rowOff>
    </xdr:from>
    <xdr:to>
      <xdr:col>11</xdr:col>
      <xdr:colOff>523875</xdr:colOff>
      <xdr:row>97</xdr:row>
      <xdr:rowOff>38100</xdr:rowOff>
    </xdr:to>
    <xdr:sp>
      <xdr:nvSpPr>
        <xdr:cNvPr id="37" name="Text Box 55"/>
        <xdr:cNvSpPr txBox="1">
          <a:spLocks noChangeArrowheads="1"/>
        </xdr:cNvSpPr>
      </xdr:nvSpPr>
      <xdr:spPr>
        <a:xfrm>
          <a:off x="457200" y="17354550"/>
          <a:ext cx="7620000" cy="16954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Current Quarter</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Preceeding Quarte</a:t>
          </a:r>
          <a:r>
            <a:rPr lang="en-US" cap="none" sz="1100" b="0" i="0" u="none" baseline="0">
              <a:solidFill>
                <a:srgbClr val="000000"/>
              </a:solidFill>
              <a:latin typeface="Arial"/>
              <a:ea typeface="Arial"/>
              <a:cs typeface="Arial"/>
            </a:rPr>
            <a:t>r
</a:t>
          </a:r>
          <a:r>
            <a:rPr lang="en-US" cap="none" sz="1100" b="0" i="0" u="none" baseline="0">
              <a:solidFill>
                <a:srgbClr val="000000"/>
              </a:solidFill>
              <a:latin typeface="Arial"/>
              <a:ea typeface="Arial"/>
              <a:cs typeface="Arial"/>
            </a:rPr>
            <a:t>                                                             RM'000                            RM'000
</a:t>
          </a:r>
          <a:r>
            <a:rPr lang="en-US" cap="none" sz="1100" b="0" i="0" u="none" baseline="0">
              <a:solidFill>
                <a:srgbClr val="000000"/>
              </a:solidFill>
              <a:latin typeface="Arial"/>
              <a:ea typeface="Arial"/>
              <a:cs typeface="Arial"/>
            </a:rPr>
            <a:t>Revenue                                              1,778                             2,560
</a:t>
          </a:r>
          <a:r>
            <a:rPr lang="en-US" cap="none" sz="1100" b="0" i="0" u="none" baseline="0">
              <a:solidFill>
                <a:srgbClr val="000000"/>
              </a:solidFill>
              <a:latin typeface="Arial"/>
              <a:ea typeface="Arial"/>
              <a:cs typeface="Arial"/>
            </a:rPr>
            <a:t>Profit After Tax                                     803                               728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the current quarter under review, the Group registered revenue and profit after tax of approximately RM1.778million (Q3 : RM2.560milion) and RM0.803million (Q3 : RM0.728million) respectively. </a:t>
          </a:r>
        </a:p>
      </xdr:txBody>
    </xdr:sp>
    <xdr:clientData/>
  </xdr:twoCellAnchor>
  <xdr:twoCellAnchor>
    <xdr:from>
      <xdr:col>1</xdr:col>
      <xdr:colOff>47625</xdr:colOff>
      <xdr:row>100</xdr:row>
      <xdr:rowOff>104775</xdr:rowOff>
    </xdr:from>
    <xdr:to>
      <xdr:col>11</xdr:col>
      <xdr:colOff>647700</xdr:colOff>
      <xdr:row>107</xdr:row>
      <xdr:rowOff>104775</xdr:rowOff>
    </xdr:to>
    <xdr:sp>
      <xdr:nvSpPr>
        <xdr:cNvPr id="38" name="Text Box 56"/>
        <xdr:cNvSpPr txBox="1">
          <a:spLocks noChangeArrowheads="1"/>
        </xdr:cNvSpPr>
      </xdr:nvSpPr>
      <xdr:spPr>
        <a:xfrm>
          <a:off x="476250" y="19669125"/>
          <a:ext cx="7724775" cy="12668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Prudent expenditure management and  strategic marketing efforts will continue to be one of the tool to further improve its performance for the next financial year. CBS has embarked in a joint venture partnership with a Swiss company as part of its expansion programme to market its products and solutions in Europe and potentially the Middle East. CBS will also be participating in the prestigious CeBIT exhibition in Hanover, Germany in March 2005 with the aim to create market awareness of CBS's RFID solution in that region. CBS will also be venturing into selected countries that have sizeable markets for e-security and RFID solutions applications.</a:t>
          </a:r>
        </a:p>
      </xdr:txBody>
    </xdr:sp>
    <xdr:clientData/>
  </xdr:twoCellAnchor>
  <xdr:twoCellAnchor>
    <xdr:from>
      <xdr:col>1</xdr:col>
      <xdr:colOff>9525</xdr:colOff>
      <xdr:row>110</xdr:row>
      <xdr:rowOff>76200</xdr:rowOff>
    </xdr:from>
    <xdr:to>
      <xdr:col>11</xdr:col>
      <xdr:colOff>371475</xdr:colOff>
      <xdr:row>112</xdr:row>
      <xdr:rowOff>9525</xdr:rowOff>
    </xdr:to>
    <xdr:sp>
      <xdr:nvSpPr>
        <xdr:cNvPr id="39" name="Text Box 57"/>
        <xdr:cNvSpPr txBox="1">
          <a:spLocks noChangeArrowheads="1"/>
        </xdr:cNvSpPr>
      </xdr:nvSpPr>
      <xdr:spPr>
        <a:xfrm>
          <a:off x="438150" y="21459825"/>
          <a:ext cx="7486650" cy="2952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has not provided any profit forecast / guarantee and thus this is not applicable to the Group.</a:t>
          </a:r>
        </a:p>
      </xdr:txBody>
    </xdr:sp>
    <xdr:clientData/>
  </xdr:twoCellAnchor>
  <xdr:twoCellAnchor>
    <xdr:from>
      <xdr:col>1</xdr:col>
      <xdr:colOff>0</xdr:colOff>
      <xdr:row>126</xdr:row>
      <xdr:rowOff>142875</xdr:rowOff>
    </xdr:from>
    <xdr:to>
      <xdr:col>11</xdr:col>
      <xdr:colOff>314325</xdr:colOff>
      <xdr:row>130</xdr:row>
      <xdr:rowOff>57150</xdr:rowOff>
    </xdr:to>
    <xdr:sp>
      <xdr:nvSpPr>
        <xdr:cNvPr id="40" name="Text Box 58"/>
        <xdr:cNvSpPr txBox="1">
          <a:spLocks noChangeArrowheads="1"/>
        </xdr:cNvSpPr>
      </xdr:nvSpPr>
      <xdr:spPr>
        <a:xfrm>
          <a:off x="428625" y="24536400"/>
          <a:ext cx="7439025" cy="647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effective tax rate is lower than the statutory tax rate for the current quarter under review mainly due to pioneer status granted to it's subsidiary company Netgen Sdn Bhd which exempts its income from taxation for a period of 5 years commencing from 26 September 2003.</a:t>
          </a:r>
        </a:p>
      </xdr:txBody>
    </xdr:sp>
    <xdr:clientData/>
  </xdr:twoCellAnchor>
  <xdr:twoCellAnchor>
    <xdr:from>
      <xdr:col>0</xdr:col>
      <xdr:colOff>409575</xdr:colOff>
      <xdr:row>132</xdr:row>
      <xdr:rowOff>76200</xdr:rowOff>
    </xdr:from>
    <xdr:to>
      <xdr:col>11</xdr:col>
      <xdr:colOff>342900</xdr:colOff>
      <xdr:row>134</xdr:row>
      <xdr:rowOff>57150</xdr:rowOff>
    </xdr:to>
    <xdr:sp>
      <xdr:nvSpPr>
        <xdr:cNvPr id="41" name="Text Box 59"/>
        <xdr:cNvSpPr txBox="1">
          <a:spLocks noChangeArrowheads="1"/>
        </xdr:cNvSpPr>
      </xdr:nvSpPr>
      <xdr:spPr>
        <a:xfrm>
          <a:off x="409575" y="25574625"/>
          <a:ext cx="7486650"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disposals of unquoted investments or properties for the current quarter under review. </a:t>
          </a:r>
        </a:p>
      </xdr:txBody>
    </xdr:sp>
    <xdr:clientData/>
  </xdr:twoCellAnchor>
  <xdr:twoCellAnchor>
    <xdr:from>
      <xdr:col>0</xdr:col>
      <xdr:colOff>409575</xdr:colOff>
      <xdr:row>136</xdr:row>
      <xdr:rowOff>114300</xdr:rowOff>
    </xdr:from>
    <xdr:to>
      <xdr:col>11</xdr:col>
      <xdr:colOff>342900</xdr:colOff>
      <xdr:row>138</xdr:row>
      <xdr:rowOff>114300</xdr:rowOff>
    </xdr:to>
    <xdr:sp>
      <xdr:nvSpPr>
        <xdr:cNvPr id="42" name="Text Box 60"/>
        <xdr:cNvSpPr txBox="1">
          <a:spLocks noChangeArrowheads="1"/>
        </xdr:cNvSpPr>
      </xdr:nvSpPr>
      <xdr:spPr>
        <a:xfrm>
          <a:off x="409575" y="26346150"/>
          <a:ext cx="7486650" cy="361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purchases or sales of quoted securities by the Group in the current quarter under review.</a:t>
          </a:r>
        </a:p>
      </xdr:txBody>
    </xdr:sp>
    <xdr:clientData/>
  </xdr:twoCellAnchor>
  <xdr:twoCellAnchor>
    <xdr:from>
      <xdr:col>0</xdr:col>
      <xdr:colOff>409575</xdr:colOff>
      <xdr:row>141</xdr:row>
      <xdr:rowOff>76200</xdr:rowOff>
    </xdr:from>
    <xdr:to>
      <xdr:col>11</xdr:col>
      <xdr:colOff>342900</xdr:colOff>
      <xdr:row>147</xdr:row>
      <xdr:rowOff>133350</xdr:rowOff>
    </xdr:to>
    <xdr:sp>
      <xdr:nvSpPr>
        <xdr:cNvPr id="43" name="Text Box 61"/>
        <xdr:cNvSpPr txBox="1">
          <a:spLocks noChangeArrowheads="1"/>
        </xdr:cNvSpPr>
      </xdr:nvSpPr>
      <xdr:spPr>
        <a:xfrm>
          <a:off x="409575" y="27222450"/>
          <a:ext cx="7486650" cy="11334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are no corporate proposals announced but not completed as at the date of this announcement.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at the date of this report, approximately RM1.31 million of the proceeds from the listing exercise have been utilised for listing expenses, research and development and working capital purposes. The balance of the proceeds are maintained in the financial institutions in the form of short term interest bearing accounts.
</a:t>
          </a:r>
        </a:p>
      </xdr:txBody>
    </xdr:sp>
    <xdr:clientData/>
  </xdr:twoCellAnchor>
  <xdr:twoCellAnchor>
    <xdr:from>
      <xdr:col>1</xdr:col>
      <xdr:colOff>0</xdr:colOff>
      <xdr:row>151</xdr:row>
      <xdr:rowOff>142875</xdr:rowOff>
    </xdr:from>
    <xdr:to>
      <xdr:col>11</xdr:col>
      <xdr:colOff>361950</xdr:colOff>
      <xdr:row>153</xdr:row>
      <xdr:rowOff>85725</xdr:rowOff>
    </xdr:to>
    <xdr:sp>
      <xdr:nvSpPr>
        <xdr:cNvPr id="44" name="Text Box 62"/>
        <xdr:cNvSpPr txBox="1">
          <a:spLocks noChangeArrowheads="1"/>
        </xdr:cNvSpPr>
      </xdr:nvSpPr>
      <xdr:spPr>
        <a:xfrm>
          <a:off x="428625" y="29098875"/>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borrowings or debt securities by the Group in the current quarter under review.</a:t>
          </a:r>
        </a:p>
      </xdr:txBody>
    </xdr:sp>
    <xdr:clientData/>
  </xdr:twoCellAnchor>
  <xdr:twoCellAnchor>
    <xdr:from>
      <xdr:col>1</xdr:col>
      <xdr:colOff>9525</xdr:colOff>
      <xdr:row>156</xdr:row>
      <xdr:rowOff>76200</xdr:rowOff>
    </xdr:from>
    <xdr:to>
      <xdr:col>11</xdr:col>
      <xdr:colOff>371475</xdr:colOff>
      <xdr:row>158</xdr:row>
      <xdr:rowOff>19050</xdr:rowOff>
    </xdr:to>
    <xdr:sp>
      <xdr:nvSpPr>
        <xdr:cNvPr id="45" name="Text Box 63"/>
        <xdr:cNvSpPr txBox="1">
          <a:spLocks noChangeArrowheads="1"/>
        </xdr:cNvSpPr>
      </xdr:nvSpPr>
      <xdr:spPr>
        <a:xfrm>
          <a:off x="438150" y="29946600"/>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have any off balance sheet financial instruments.</a:t>
          </a:r>
        </a:p>
      </xdr:txBody>
    </xdr:sp>
    <xdr:clientData/>
  </xdr:twoCellAnchor>
  <xdr:twoCellAnchor>
    <xdr:from>
      <xdr:col>0</xdr:col>
      <xdr:colOff>409575</xdr:colOff>
      <xdr:row>160</xdr:row>
      <xdr:rowOff>104775</xdr:rowOff>
    </xdr:from>
    <xdr:to>
      <xdr:col>11</xdr:col>
      <xdr:colOff>342900</xdr:colOff>
      <xdr:row>164</xdr:row>
      <xdr:rowOff>47625</xdr:rowOff>
    </xdr:to>
    <xdr:sp>
      <xdr:nvSpPr>
        <xdr:cNvPr id="46" name="Text Box 64"/>
        <xdr:cNvSpPr txBox="1">
          <a:spLocks noChangeArrowheads="1"/>
        </xdr:cNvSpPr>
      </xdr:nvSpPr>
      <xdr:spPr>
        <a:xfrm>
          <a:off x="409575" y="3070860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is not engaged in any material litigation either as plaintiff or defendent and the Directors do not have any knowledge of any proceedings pending or threatened against the Group as at the date of this report.</a:t>
          </a:r>
        </a:p>
      </xdr:txBody>
    </xdr:sp>
    <xdr:clientData/>
  </xdr:twoCellAnchor>
  <xdr:twoCellAnchor>
    <xdr:from>
      <xdr:col>2</xdr:col>
      <xdr:colOff>9525</xdr:colOff>
      <xdr:row>18</xdr:row>
      <xdr:rowOff>0</xdr:rowOff>
    </xdr:from>
    <xdr:to>
      <xdr:col>11</xdr:col>
      <xdr:colOff>600075</xdr:colOff>
      <xdr:row>18</xdr:row>
      <xdr:rowOff>0</xdr:rowOff>
    </xdr:to>
    <xdr:sp>
      <xdr:nvSpPr>
        <xdr:cNvPr id="47" name="Text Box 65"/>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consolidated financial statements incorporated the financial statements of CBS and its subsidiary companies, Cyber Business Solutions Sdn Bhd and Netgen Sdn Bhd as at 31 March 2004, which have been prepared in accordance with the Group's accounting policies.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intercompany transactions, balances and unrealised gains on transactions between the group companies are eliminated; unrealised losses are also eliminated on consolidation unless cost cannot be recovered.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financial statements of the Company and its subsidiaries are all drawn up to the same reporting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Minority interest, if any is measured at the minorities' share of the post acquisition fair values of the indentifiable assets and liabilities of the subsidiary companies.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Subsidiary companies are consolidated using the acquisition method of accounting from the date on which control is transferred to the Group of the Company and are no longer consolidated from the date that control ceases.  The difference between the acquisition cost and the fair values of the subsidiary companies' net assets is reflected as goodwill or reserve arising on consolidation.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gain or loss disposal of a subsidiary company is the difference between net disposal proceeds and the Group's share of its net assets together with any unamortised balance of goodwill on acquisition and exchange differences.</a:t>
          </a:r>
        </a:p>
      </xdr:txBody>
    </xdr:sp>
    <xdr:clientData/>
  </xdr:twoCellAnchor>
  <xdr:twoCellAnchor>
    <xdr:from>
      <xdr:col>0</xdr:col>
      <xdr:colOff>409575</xdr:colOff>
      <xdr:row>167</xdr:row>
      <xdr:rowOff>0</xdr:rowOff>
    </xdr:from>
    <xdr:to>
      <xdr:col>11</xdr:col>
      <xdr:colOff>342900</xdr:colOff>
      <xdr:row>168</xdr:row>
      <xdr:rowOff>142875</xdr:rowOff>
    </xdr:to>
    <xdr:sp>
      <xdr:nvSpPr>
        <xdr:cNvPr id="48" name="Text Box 66"/>
        <xdr:cNvSpPr txBox="1">
          <a:spLocks noChangeArrowheads="1"/>
        </xdr:cNvSpPr>
      </xdr:nvSpPr>
      <xdr:spPr>
        <a:xfrm>
          <a:off x="409575" y="31880175"/>
          <a:ext cx="7486650" cy="3238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No dividend has been declared or paid during the current quarter under review.</a:t>
          </a:r>
        </a:p>
      </xdr:txBody>
    </xdr:sp>
    <xdr:clientData/>
  </xdr:twoCellAnchor>
  <xdr:twoCellAnchor>
    <xdr:from>
      <xdr:col>1</xdr:col>
      <xdr:colOff>28575</xdr:colOff>
      <xdr:row>172</xdr:row>
      <xdr:rowOff>142875</xdr:rowOff>
    </xdr:from>
    <xdr:to>
      <xdr:col>11</xdr:col>
      <xdr:colOff>390525</xdr:colOff>
      <xdr:row>176</xdr:row>
      <xdr:rowOff>85725</xdr:rowOff>
    </xdr:to>
    <xdr:sp>
      <xdr:nvSpPr>
        <xdr:cNvPr id="49" name="Text Box 67"/>
        <xdr:cNvSpPr txBox="1">
          <a:spLocks noChangeArrowheads="1"/>
        </xdr:cNvSpPr>
      </xdr:nvSpPr>
      <xdr:spPr>
        <a:xfrm>
          <a:off x="457200" y="3293745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basic earnings per share of 4.13 sen is calculated by dividing net profit attributable to members of CBS Technology Berhad of RM3,523,689 by the weighted average number of ordinary shares of RM0.10 each in issue of 85,401,165 for the current quarter ended 31st Dec 2004.</a:t>
          </a:r>
        </a:p>
      </xdr:txBody>
    </xdr:sp>
    <xdr:clientData/>
  </xdr:twoCellAnchor>
  <xdr:twoCellAnchor>
    <xdr:from>
      <xdr:col>1</xdr:col>
      <xdr:colOff>28575</xdr:colOff>
      <xdr:row>180</xdr:row>
      <xdr:rowOff>142875</xdr:rowOff>
    </xdr:from>
    <xdr:to>
      <xdr:col>11</xdr:col>
      <xdr:colOff>390525</xdr:colOff>
      <xdr:row>183</xdr:row>
      <xdr:rowOff>66675</xdr:rowOff>
    </xdr:to>
    <xdr:sp>
      <xdr:nvSpPr>
        <xdr:cNvPr id="50" name="Text Box 68"/>
        <xdr:cNvSpPr txBox="1">
          <a:spLocks noChangeArrowheads="1"/>
        </xdr:cNvSpPr>
      </xdr:nvSpPr>
      <xdr:spPr>
        <a:xfrm>
          <a:off x="457200" y="34394775"/>
          <a:ext cx="7486650" cy="4667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forth quarter financial statements were authorised for issue by the Board of Directors in accordance with a resolution of the directors on 16 Feb 2005.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ssvr1\finance\Documents%20and%20Settings\User\Local%20Settings\Temporary%20Internet%20Files\OLK18\Copy%20of%20CBS%20Qtr%20ended%2030.9.2004-Conso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MonthlyAccounts\2006\Jun06\Jun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MonthlyAccounts\2006\Aug06\Aug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MonthlyAccounts\2006\Dec'06\Dec06-amend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MonthlyAccounts\2007\0307\Mar0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K Consol adj"/>
      <sheetName val="PL Condensed"/>
      <sheetName val="PL"/>
      <sheetName val="Balance Sheet"/>
      <sheetName val="Balance Sheet Condensed"/>
      <sheetName val="EquityCondensed"/>
      <sheetName val=" Cash FlowCondensed"/>
      <sheetName val="WK Cashflow worksheet"/>
      <sheetName val="Notes MASB &amp; MSEB Requirement "/>
    </sheetNames>
    <sheetDataSet>
      <sheetData sheetId="7">
        <row r="15">
          <cell r="K15">
            <v>-46470</v>
          </cell>
        </row>
        <row r="90">
          <cell r="D90">
            <v>3987611.4299999997</v>
          </cell>
        </row>
        <row r="91">
          <cell r="D91">
            <v>586605.15</v>
          </cell>
        </row>
        <row r="92">
          <cell r="D92">
            <v>2742633.65</v>
          </cell>
        </row>
        <row r="93">
          <cell r="D93">
            <v>1304559.83</v>
          </cell>
        </row>
        <row r="94">
          <cell r="D94">
            <v>-357089.36</v>
          </cell>
        </row>
        <row r="95">
          <cell r="D95">
            <v>-4288484.87</v>
          </cell>
        </row>
        <row r="97">
          <cell r="D97">
            <v>-5723226</v>
          </cell>
        </row>
        <row r="98">
          <cell r="D98">
            <v>-3987611.4299999997</v>
          </cell>
        </row>
        <row r="99">
          <cell r="D99">
            <v>1747390.8900000001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YTD"/>
      <sheetName val="PLYTD"/>
      <sheetName val="PL-Q3"/>
      <sheetName val="PL"/>
      <sheetName val="Cashflow"/>
      <sheetName val="Int"/>
      <sheetName val="Notes-Cyber"/>
      <sheetName val="Notes-Netgen"/>
      <sheetName val="CBS-BS"/>
      <sheetName val="Cyber-BS"/>
      <sheetName val="Netgen-BS"/>
      <sheetName val="Cyber-PL"/>
      <sheetName val="Netgen-PL"/>
      <sheetName val="CBS-PL"/>
    </sheetNames>
    <sheetDataSet>
      <sheetData sheetId="0">
        <row r="16">
          <cell r="B16">
            <v>0</v>
          </cell>
        </row>
        <row r="17">
          <cell r="B17">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YTD"/>
      <sheetName val="PLYTD"/>
      <sheetName val="PL-Q3"/>
      <sheetName val="PL"/>
      <sheetName val="Cashflow"/>
      <sheetName val="Int"/>
      <sheetName val="Notes-Cyber"/>
      <sheetName val="Notes-Netgen"/>
      <sheetName val="CBS-BS"/>
      <sheetName val="Cyber-BS"/>
      <sheetName val="Netgen-BS"/>
      <sheetName val="Cyber-PL"/>
      <sheetName val="Netgen-PL"/>
      <sheetName val="CBS-P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YTD"/>
      <sheetName val="PLYTD"/>
      <sheetName val="PL-Q4"/>
      <sheetName val="PL"/>
      <sheetName val="Cashflow"/>
      <sheetName val="Int"/>
      <sheetName val="Notes-Cyber"/>
      <sheetName val="Notes-Netgen"/>
      <sheetName val="CBS-BS"/>
      <sheetName val="Cyber-BS"/>
      <sheetName val="Netgen-BS"/>
      <sheetName val="Cyber-PL"/>
      <sheetName val="Netgen-PL"/>
      <sheetName val="CBS-PL"/>
      <sheetName val="Tax Com"/>
    </sheetNames>
    <sheetDataSet>
      <sheetData sheetId="0">
        <row r="7">
          <cell r="D7">
            <v>35000</v>
          </cell>
        </row>
        <row r="19">
          <cell r="B19">
            <v>29000</v>
          </cell>
        </row>
        <row r="102">
          <cell r="D102">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YTD"/>
      <sheetName val="PLYTD"/>
      <sheetName val="PL"/>
      <sheetName val="PL-Q4"/>
      <sheetName val="Cashflow"/>
      <sheetName val="Int"/>
      <sheetName val="Notes-Cyber"/>
      <sheetName val="CBS-BS"/>
      <sheetName val="Cyber-BS"/>
      <sheetName val="Netgen-BS"/>
      <sheetName val="Cyber-PL"/>
      <sheetName val="Netgen-PL"/>
      <sheetName val="CBS-PL"/>
      <sheetName val="Tax Com"/>
      <sheetName val="Compatibility Report"/>
    </sheetNames>
    <sheetDataSet>
      <sheetData sheetId="0">
        <row r="7">
          <cell r="B7">
            <v>3223226.48</v>
          </cell>
          <cell r="F7">
            <v>9851106</v>
          </cell>
        </row>
        <row r="8">
          <cell r="D8">
            <v>18368.2</v>
          </cell>
        </row>
        <row r="9">
          <cell r="F9">
            <v>5748927.42</v>
          </cell>
        </row>
        <row r="10">
          <cell r="F10">
            <v>44910</v>
          </cell>
        </row>
        <row r="11">
          <cell r="B11">
            <v>3440555.74</v>
          </cell>
          <cell r="D11">
            <v>9696616.8</v>
          </cell>
          <cell r="F11">
            <v>226005.28</v>
          </cell>
        </row>
        <row r="12">
          <cell r="B12">
            <v>795947.1299999999</v>
          </cell>
          <cell r="D12">
            <v>-194231.16</v>
          </cell>
          <cell r="F12">
            <v>69294.33</v>
          </cell>
        </row>
        <row r="66">
          <cell r="C66">
            <v>1669988.16</v>
          </cell>
          <cell r="E66">
            <v>792639.46</v>
          </cell>
        </row>
        <row r="77">
          <cell r="C77">
            <v>257250</v>
          </cell>
        </row>
        <row r="79">
          <cell r="F79">
            <v>3223226</v>
          </cell>
        </row>
        <row r="80">
          <cell r="F80">
            <v>2500000</v>
          </cell>
        </row>
        <row r="81">
          <cell r="F81">
            <v>200000</v>
          </cell>
        </row>
        <row r="82">
          <cell r="F82">
            <v>-145543.6</v>
          </cell>
        </row>
        <row r="83">
          <cell r="B83">
            <v>4448472.56</v>
          </cell>
          <cell r="D83">
            <v>3579068.16</v>
          </cell>
          <cell r="F83">
            <v>7249838.53</v>
          </cell>
        </row>
        <row r="84">
          <cell r="F84">
            <v>5000000</v>
          </cell>
        </row>
        <row r="85">
          <cell r="D85">
            <v>798283.04</v>
          </cell>
        </row>
        <row r="86">
          <cell r="B86">
            <v>2070678.33</v>
          </cell>
        </row>
        <row r="87">
          <cell r="B87">
            <v>1010000</v>
          </cell>
          <cell r="D87">
            <v>1500000</v>
          </cell>
          <cell r="F87">
            <v>10000</v>
          </cell>
        </row>
        <row r="88">
          <cell r="B88">
            <v>602.99</v>
          </cell>
          <cell r="D88">
            <v>616.94</v>
          </cell>
        </row>
        <row r="89">
          <cell r="B89">
            <v>3244800</v>
          </cell>
        </row>
        <row r="94">
          <cell r="E94">
            <v>398250</v>
          </cell>
        </row>
        <row r="102">
          <cell r="B102">
            <v>44010.82</v>
          </cell>
        </row>
        <row r="103">
          <cell r="B103">
            <v>512175.74</v>
          </cell>
        </row>
        <row r="104">
          <cell r="B104">
            <v>378084.39</v>
          </cell>
        </row>
        <row r="105">
          <cell r="B105">
            <v>1800</v>
          </cell>
        </row>
        <row r="106">
          <cell r="D106">
            <v>14081.65</v>
          </cell>
        </row>
        <row r="107">
          <cell r="B107">
            <v>2330379</v>
          </cell>
        </row>
        <row r="108">
          <cell r="B108">
            <v>10000</v>
          </cell>
        </row>
        <row r="109">
          <cell r="B109">
            <v>2475384</v>
          </cell>
          <cell r="D109">
            <v>-40504</v>
          </cell>
        </row>
        <row r="110">
          <cell r="D110">
            <v>2637861.29</v>
          </cell>
        </row>
        <row r="112">
          <cell r="F112">
            <v>500</v>
          </cell>
        </row>
        <row r="115">
          <cell r="B115">
            <v>20000</v>
          </cell>
        </row>
        <row r="117">
          <cell r="B117">
            <v>19600</v>
          </cell>
        </row>
        <row r="118">
          <cell r="B118">
            <v>30290</v>
          </cell>
          <cell r="D118">
            <v>5700</v>
          </cell>
          <cell r="F118">
            <v>1500</v>
          </cell>
        </row>
        <row r="121">
          <cell r="F121">
            <v>153143</v>
          </cell>
        </row>
        <row r="124">
          <cell r="B124">
            <v>-94606.74</v>
          </cell>
          <cell r="D124">
            <v>143653.9</v>
          </cell>
          <cell r="F124">
            <v>248539.81</v>
          </cell>
        </row>
        <row r="125">
          <cell r="B125">
            <v>66691.41</v>
          </cell>
          <cell r="D125">
            <v>93478.68</v>
          </cell>
        </row>
        <row r="126">
          <cell r="B126">
            <v>824.01</v>
          </cell>
          <cell r="D126">
            <v>430</v>
          </cell>
        </row>
        <row r="131">
          <cell r="B131">
            <v>1175188.24</v>
          </cell>
          <cell r="D131">
            <v>0</v>
          </cell>
        </row>
        <row r="132">
          <cell r="B132">
            <v>36117.49</v>
          </cell>
          <cell r="D132">
            <v>0</v>
          </cell>
          <cell r="F132">
            <v>3675</v>
          </cell>
        </row>
        <row r="133">
          <cell r="F133">
            <v>2475384</v>
          </cell>
        </row>
        <row r="134">
          <cell r="F134">
            <v>-40504</v>
          </cell>
        </row>
        <row r="138">
          <cell r="B138">
            <v>33949</v>
          </cell>
          <cell r="D138">
            <v>10817</v>
          </cell>
        </row>
        <row r="139">
          <cell r="B139">
            <v>1728.7</v>
          </cell>
          <cell r="D139">
            <v>688.7</v>
          </cell>
        </row>
        <row r="140">
          <cell r="B140">
            <v>188199.63</v>
          </cell>
          <cell r="D140">
            <v>68030.58</v>
          </cell>
          <cell r="F140">
            <v>71133</v>
          </cell>
        </row>
        <row r="141">
          <cell r="B141">
            <v>6231</v>
          </cell>
          <cell r="D141">
            <v>2670</v>
          </cell>
        </row>
        <row r="142">
          <cell r="B142">
            <v>1405040.68</v>
          </cell>
        </row>
        <row r="145">
          <cell r="B145">
            <v>-371917.45</v>
          </cell>
          <cell r="D145">
            <v>-2536</v>
          </cell>
          <cell r="F145">
            <v>-8927.29</v>
          </cell>
        </row>
        <row r="146">
          <cell r="B146">
            <v>2637861.29</v>
          </cell>
        </row>
        <row r="147">
          <cell r="B147">
            <v>50870</v>
          </cell>
        </row>
        <row r="148">
          <cell r="B148">
            <v>259000</v>
          </cell>
        </row>
        <row r="149">
          <cell r="B149">
            <v>581500</v>
          </cell>
        </row>
        <row r="150">
          <cell r="B150">
            <v>130000</v>
          </cell>
        </row>
        <row r="151">
          <cell r="D151">
            <v>163780</v>
          </cell>
        </row>
        <row r="152">
          <cell r="D152">
            <v>124355</v>
          </cell>
        </row>
        <row r="153">
          <cell r="B153">
            <v>4873926.74</v>
          </cell>
        </row>
        <row r="154">
          <cell r="F154">
            <v>200</v>
          </cell>
        </row>
        <row r="162">
          <cell r="G162">
            <v>15940243.03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61"/>
  <sheetViews>
    <sheetView zoomScale="75" zoomScaleNormal="75"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A51" sqref="A51"/>
    </sheetView>
  </sheetViews>
  <sheetFormatPr defaultColWidth="9.140625" defaultRowHeight="12.75"/>
  <cols>
    <col min="1" max="1" width="60.8515625" style="9" customWidth="1"/>
    <col min="2" max="3" width="14.00390625" style="156" bestFit="1" customWidth="1"/>
    <col min="4" max="4" width="12.8515625" style="156" bestFit="1" customWidth="1"/>
    <col min="5" max="5" width="10.421875" style="157" bestFit="1" customWidth="1"/>
    <col min="6" max="6" width="14.421875" style="156" bestFit="1" customWidth="1"/>
    <col min="7" max="7" width="7.28125" style="157" bestFit="1" customWidth="1"/>
    <col min="8" max="8" width="14.421875" style="156" bestFit="1" customWidth="1"/>
    <col min="9" max="9" width="14.00390625" style="156" customWidth="1"/>
    <col min="10" max="10" width="14.00390625" style="0" hidden="1" customWidth="1"/>
    <col min="12" max="12" width="11.28125" style="0" bestFit="1" customWidth="1"/>
  </cols>
  <sheetData>
    <row r="1" ht="12.75">
      <c r="A1" s="2" t="s">
        <v>125</v>
      </c>
    </row>
    <row r="2" ht="12.75">
      <c r="A2" s="9" t="s">
        <v>48</v>
      </c>
    </row>
    <row r="3" ht="12.75">
      <c r="A3" s="22" t="s">
        <v>214</v>
      </c>
    </row>
    <row r="4" ht="12.75">
      <c r="A4" s="22" t="str">
        <f>+'PL Condensed'!A4</f>
        <v>FOR THE FIRST QUARTER ENDED 31 MARCH 2008</v>
      </c>
    </row>
    <row r="5" ht="12.75">
      <c r="A5" s="23" t="s">
        <v>9</v>
      </c>
    </row>
    <row r="6" ht="12.75"/>
    <row r="7" ht="12.75">
      <c r="A7" s="22" t="s">
        <v>314</v>
      </c>
    </row>
    <row r="8" spans="1:9" ht="12.75">
      <c r="A8" s="22"/>
      <c r="B8" s="79"/>
      <c r="C8" s="79"/>
      <c r="D8" s="79"/>
      <c r="E8" s="79"/>
      <c r="F8" s="79"/>
      <c r="G8" s="79"/>
      <c r="H8" s="79"/>
      <c r="I8" s="79"/>
    </row>
    <row r="9" spans="1:10" ht="12.75">
      <c r="A9" s="22"/>
      <c r="B9" s="79" t="s">
        <v>24</v>
      </c>
      <c r="C9" s="79" t="s">
        <v>25</v>
      </c>
      <c r="D9" s="79" t="s">
        <v>26</v>
      </c>
      <c r="E9" s="79" t="s">
        <v>213</v>
      </c>
      <c r="F9" s="79" t="s">
        <v>33</v>
      </c>
      <c r="G9" s="79" t="s">
        <v>213</v>
      </c>
      <c r="H9" s="79" t="s">
        <v>33</v>
      </c>
      <c r="I9" s="79" t="s">
        <v>315</v>
      </c>
      <c r="J9" s="4" t="s">
        <v>206</v>
      </c>
    </row>
    <row r="10" spans="1:8" ht="12.75">
      <c r="A10" s="22"/>
      <c r="F10" s="79" t="s">
        <v>1</v>
      </c>
      <c r="G10" s="79"/>
      <c r="H10" s="79" t="s">
        <v>2</v>
      </c>
    </row>
    <row r="11" spans="1:10" ht="12.75">
      <c r="A11" s="22"/>
      <c r="B11" s="79" t="s">
        <v>3</v>
      </c>
      <c r="C11" s="79" t="s">
        <v>3</v>
      </c>
      <c r="D11" s="79" t="s">
        <v>3</v>
      </c>
      <c r="E11" s="79"/>
      <c r="F11" s="79" t="s">
        <v>3</v>
      </c>
      <c r="G11" s="79"/>
      <c r="H11" s="79" t="s">
        <v>3</v>
      </c>
      <c r="I11" s="79" t="s">
        <v>3</v>
      </c>
      <c r="J11" s="4" t="s">
        <v>3</v>
      </c>
    </row>
    <row r="12" ht="12.75"/>
    <row r="13" spans="1:10" ht="12.75">
      <c r="A13" s="2" t="s">
        <v>126</v>
      </c>
      <c r="B13" s="158"/>
      <c r="C13" s="158">
        <f>+'[5]BSYTD'!$C$66</f>
        <v>1669988.16</v>
      </c>
      <c r="D13" s="158">
        <f>+'[5]BSYTD'!$E$66</f>
        <v>792639.46</v>
      </c>
      <c r="E13" s="125"/>
      <c r="G13" s="125"/>
      <c r="H13" s="158"/>
      <c r="I13" s="159">
        <f aca="true" t="shared" si="0" ref="I13:I18">B13+C13+D13+F13-H13</f>
        <v>2462627.62</v>
      </c>
      <c r="J13" s="89">
        <v>1361384.88</v>
      </c>
    </row>
    <row r="14" spans="1:10" ht="12.75">
      <c r="A14" s="2" t="s">
        <v>308</v>
      </c>
      <c r="B14" s="158"/>
      <c r="C14" s="158">
        <f>+'[5]BSYTD'!$C$77</f>
        <v>257250</v>
      </c>
      <c r="D14" s="158"/>
      <c r="E14" s="125"/>
      <c r="G14" s="125"/>
      <c r="H14" s="158"/>
      <c r="I14" s="159">
        <f t="shared" si="0"/>
        <v>257250</v>
      </c>
      <c r="J14" s="89"/>
    </row>
    <row r="15" spans="1:10" ht="12.75">
      <c r="A15" s="43" t="s">
        <v>5</v>
      </c>
      <c r="B15" s="158">
        <f>+'[5]BSYTD'!$F$79</f>
        <v>3223226</v>
      </c>
      <c r="C15" s="158"/>
      <c r="D15" s="158"/>
      <c r="E15" s="125"/>
      <c r="G15" s="157">
        <v>1</v>
      </c>
      <c r="H15" s="156" t="e">
        <f>+#REF!</f>
        <v>#REF!</v>
      </c>
      <c r="I15" s="156" t="e">
        <f t="shared" si="0"/>
        <v>#REF!</v>
      </c>
      <c r="J15" s="89">
        <v>0</v>
      </c>
    </row>
    <row r="16" spans="1:10" ht="12.75">
      <c r="A16" s="43" t="s">
        <v>7</v>
      </c>
      <c r="B16" s="158">
        <f>+'[5]BSYTD'!$F$80</f>
        <v>2500000</v>
      </c>
      <c r="C16" s="158"/>
      <c r="D16" s="158"/>
      <c r="E16" s="125"/>
      <c r="G16" s="157">
        <v>2</v>
      </c>
      <c r="H16" s="156" t="e">
        <f>+#REF!</f>
        <v>#REF!</v>
      </c>
      <c r="I16" s="156" t="e">
        <f t="shared" si="0"/>
        <v>#REF!</v>
      </c>
      <c r="J16" s="89">
        <v>0</v>
      </c>
    </row>
    <row r="17" spans="1:10" s="116" customFormat="1" ht="12.75">
      <c r="A17" s="123" t="s">
        <v>207</v>
      </c>
      <c r="B17" s="160">
        <f>+'[5]BSYTD'!$F$81+'[5]BSYTD'!$F$82</f>
        <v>54456.399999999994</v>
      </c>
      <c r="C17" s="160"/>
      <c r="D17" s="158"/>
      <c r="E17" s="161" t="s">
        <v>313</v>
      </c>
      <c r="F17" s="156" t="e">
        <f>+#REF!+#REF!</f>
        <v>#REF!</v>
      </c>
      <c r="G17" s="157">
        <v>8</v>
      </c>
      <c r="H17" s="156" t="e">
        <f>+#REF!</f>
        <v>#REF!</v>
      </c>
      <c r="I17" s="156" t="e">
        <f t="shared" si="0"/>
        <v>#REF!</v>
      </c>
      <c r="J17" s="156">
        <v>200000</v>
      </c>
    </row>
    <row r="18" spans="1:10" ht="12.75">
      <c r="A18" s="2" t="s">
        <v>208</v>
      </c>
      <c r="B18" s="160"/>
      <c r="C18" s="160"/>
      <c r="D18" s="158">
        <f>+'[5]BSYTD'!$E$94</f>
        <v>398250</v>
      </c>
      <c r="E18" s="125"/>
      <c r="I18" s="156">
        <f t="shared" si="0"/>
        <v>398250</v>
      </c>
      <c r="J18" s="89">
        <v>48000</v>
      </c>
    </row>
    <row r="19" spans="1:10" ht="12.75">
      <c r="A19" s="2" t="s">
        <v>4</v>
      </c>
      <c r="B19" s="158"/>
      <c r="C19" s="158"/>
      <c r="D19" s="158"/>
      <c r="E19" s="157">
        <v>1</v>
      </c>
      <c r="F19" s="156" t="e">
        <f>+#REF!</f>
        <v>#REF!</v>
      </c>
      <c r="G19" s="157">
        <v>3</v>
      </c>
      <c r="H19" s="156">
        <f>116492.76+116492.76</f>
        <v>232985.52</v>
      </c>
      <c r="I19" s="156" t="e">
        <f>B19+C19+D19+F19-H19+F20-0.5</f>
        <v>#REF!</v>
      </c>
      <c r="J19" s="89">
        <v>1660021.047</v>
      </c>
    </row>
    <row r="20" spans="2:10" ht="12.75">
      <c r="B20" s="158"/>
      <c r="C20" s="158"/>
      <c r="D20" s="158"/>
      <c r="E20" s="157">
        <v>2</v>
      </c>
      <c r="F20" s="156" t="e">
        <f>+#REF!</f>
        <v>#REF!</v>
      </c>
      <c r="G20" s="125"/>
      <c r="J20" s="89"/>
    </row>
    <row r="21" spans="1:10" ht="12.75">
      <c r="A21" s="2" t="s">
        <v>11</v>
      </c>
      <c r="B21" s="158"/>
      <c r="C21" s="158"/>
      <c r="D21" s="158"/>
      <c r="G21" s="125"/>
      <c r="J21" s="89"/>
    </row>
    <row r="22" spans="1:10" ht="12.75">
      <c r="A22" s="9" t="s">
        <v>14</v>
      </c>
      <c r="B22" s="162"/>
      <c r="C22" s="163">
        <f>+'[5]BSYTD'!$B$102+'[5]BSYTD'!$B$103+'[5]BSYTD'!$B$104+'[5]BSYTD'!$B$105</f>
        <v>936070.95</v>
      </c>
      <c r="D22" s="162">
        <f>+'[5]BSYTD'!$D$106</f>
        <v>14081.65</v>
      </c>
      <c r="E22" s="164"/>
      <c r="G22" s="125"/>
      <c r="I22" s="165">
        <f aca="true" t="shared" si="1" ref="I22:I27">B22+C22+D22+F22-H22</f>
        <v>950152.6</v>
      </c>
      <c r="J22" s="166">
        <v>1518525.85</v>
      </c>
    </row>
    <row r="23" spans="1:10" ht="12.75">
      <c r="A23" s="9" t="s">
        <v>12</v>
      </c>
      <c r="B23" s="167"/>
      <c r="C23" s="168">
        <f>+'[5]BSYTD'!$B$107</f>
        <v>2330379</v>
      </c>
      <c r="D23" s="167">
        <f>+'[4]BSYTD'!$D$102</f>
        <v>0</v>
      </c>
      <c r="E23" s="169"/>
      <c r="G23" s="125"/>
      <c r="H23" s="80"/>
      <c r="I23" s="170">
        <f t="shared" si="1"/>
        <v>2330379</v>
      </c>
      <c r="J23" s="171">
        <v>2293396.87</v>
      </c>
    </row>
    <row r="24" spans="1:10" ht="12.75">
      <c r="A24" s="9" t="s">
        <v>127</v>
      </c>
      <c r="B24" s="167">
        <f>+'[5]BSYTD'!$F$112+'[5]BSYTD'!$F$118</f>
        <v>2000</v>
      </c>
      <c r="C24" s="168">
        <f>+'[5]BSYTD'!$B$108+'[5]BSYTD'!$B$109+'[5]BSYTD'!$B$117+'[5]BSYTD'!$B$118</f>
        <v>2535274</v>
      </c>
      <c r="D24" s="167">
        <f>+'[5]BSYTD'!$D$109+'[5]BSYTD'!$D$110+'[5]BSYTD'!$D$118</f>
        <v>2603057.29</v>
      </c>
      <c r="G24" s="164" t="s">
        <v>232</v>
      </c>
      <c r="H24" s="156" t="e">
        <f>+#REF!+#REF!+#REF!</f>
        <v>#REF!</v>
      </c>
      <c r="I24" s="170" t="e">
        <f t="shared" si="1"/>
        <v>#REF!</v>
      </c>
      <c r="J24" s="171">
        <v>-147048.42</v>
      </c>
    </row>
    <row r="25" spans="1:10" ht="12.75">
      <c r="A25" s="9" t="s">
        <v>189</v>
      </c>
      <c r="B25" s="167">
        <f>+'[5]BSYTD'!$F$83+'[5]BSYTD'!$F$84+'[5]BSYTD'!$F$87+'[5]BSYTD'!$F$121</f>
        <v>12412981.530000001</v>
      </c>
      <c r="C25" s="158">
        <f>+'[5]BSYTD'!$B$83+'[5]BSYTD'!$B$86+'[5]BSYTD'!$B$87+'[5]BSYTD'!$B$88+'[5]BSYTD'!$B$89</f>
        <v>10774553.879999999</v>
      </c>
      <c r="D25" s="167">
        <f>+'[5]BSYTD'!$D$83+'[5]BSYTD'!$D$85+'[5]BSYTD'!$D$87+'[5]BSYTD'!$D$88</f>
        <v>5877968.140000001</v>
      </c>
      <c r="E25" s="164"/>
      <c r="G25" s="125"/>
      <c r="I25" s="170">
        <f t="shared" si="1"/>
        <v>29065503.55</v>
      </c>
      <c r="J25" s="171">
        <v>15513554.1</v>
      </c>
    </row>
    <row r="26" spans="1:10" ht="12.75">
      <c r="A26" s="9" t="s">
        <v>28</v>
      </c>
      <c r="B26" s="167"/>
      <c r="C26" s="168">
        <f>+'[5]BSYTD'!$B$115</f>
        <v>20000</v>
      </c>
      <c r="D26" s="167">
        <v>0</v>
      </c>
      <c r="E26" s="164"/>
      <c r="G26" s="125"/>
      <c r="I26" s="170">
        <f t="shared" si="1"/>
        <v>20000</v>
      </c>
      <c r="J26" s="171">
        <v>1302689.98</v>
      </c>
    </row>
    <row r="27" spans="1:12" ht="12.75">
      <c r="A27" s="9" t="s">
        <v>13</v>
      </c>
      <c r="B27" s="172">
        <f>+'[5]BSYTD'!$F$124</f>
        <v>248539.81</v>
      </c>
      <c r="C27" s="173">
        <f>+'[5]BSYTD'!$B$124+'[5]BSYTD'!$B$125+'[5]BSYTD'!$B$126</f>
        <v>-27091.320000000003</v>
      </c>
      <c r="D27" s="172">
        <f>+'[5]BSYTD'!$D$124+'[5]BSYTD'!$D$125+'[5]BSYTD'!$D$126</f>
        <v>237562.58</v>
      </c>
      <c r="E27" s="164"/>
      <c r="G27" s="125"/>
      <c r="I27" s="174">
        <f t="shared" si="1"/>
        <v>459011.06999999995</v>
      </c>
      <c r="J27" s="175">
        <v>1666801.45</v>
      </c>
      <c r="L27" s="14"/>
    </row>
    <row r="28" spans="2:10" ht="12.75">
      <c r="B28" s="158">
        <f>SUM(B22:B27)</f>
        <v>12663521.340000002</v>
      </c>
      <c r="C28" s="158">
        <f>SUM(C22:C27)</f>
        <v>16569186.509999998</v>
      </c>
      <c r="D28" s="158">
        <f>SUM(D22:D27)</f>
        <v>8732669.66</v>
      </c>
      <c r="G28" s="125"/>
      <c r="I28" s="156" t="e">
        <f>SUM(I22:I27)</f>
        <v>#REF!</v>
      </c>
      <c r="J28" s="89">
        <v>22147919.83</v>
      </c>
    </row>
    <row r="29" spans="2:10" ht="12.75">
      <c r="B29" s="158"/>
      <c r="C29" s="158"/>
      <c r="D29" s="158"/>
      <c r="G29" s="125"/>
      <c r="J29" s="89"/>
    </row>
    <row r="30" spans="1:10" ht="12.75">
      <c r="A30" s="2" t="s">
        <v>15</v>
      </c>
      <c r="B30" s="158"/>
      <c r="C30" s="158"/>
      <c r="D30" s="158"/>
      <c r="G30" s="125"/>
      <c r="J30" s="89"/>
    </row>
    <row r="31" spans="1:10" ht="12.75">
      <c r="A31" s="9" t="s">
        <v>16</v>
      </c>
      <c r="B31" s="176"/>
      <c r="C31" s="162">
        <f>+'[5]BSYTD'!$B$131+'[5]BSYTD'!$B$142</f>
        <v>2580228.92</v>
      </c>
      <c r="D31" s="163">
        <f>+'[5]BSYTD'!$D$131</f>
        <v>0</v>
      </c>
      <c r="E31" s="164"/>
      <c r="F31" s="80"/>
      <c r="G31" s="126"/>
      <c r="I31" s="165">
        <f>B31+C31+D31-F31+H31</f>
        <v>2580228.92</v>
      </c>
      <c r="J31" s="166">
        <v>2425109.13</v>
      </c>
    </row>
    <row r="32" spans="1:10" ht="12.75">
      <c r="A32" s="9" t="s">
        <v>17</v>
      </c>
      <c r="B32" s="177">
        <f>+'[5]BSYTD'!$F$132+'[5]BSYTD'!$F$133+'[5]BSYTD'!$F$134+'[5]BSYTD'!$F$140+'[5]BSYTD'!$F$154</f>
        <v>2509888</v>
      </c>
      <c r="C32" s="167">
        <f>+'[5]BSYTD'!$B$138+'[5]BSYTD'!$B$139+'[5]BSYTD'!$B$140+'[5]BSYTD'!$B$141+'[5]BSYTD'!$B$146+'[5]BSYTD'!$B$132</f>
        <v>2904087.1100000003</v>
      </c>
      <c r="D32" s="168">
        <f>+'[5]BSYTD'!$D$132+'[5]BSYTD'!$D$138+'[5]BSYTD'!$D$139+'[5]BSYTD'!$D$140+'[5]BSYTD'!$D$141</f>
        <v>82206.28</v>
      </c>
      <c r="E32" s="153" t="s">
        <v>242</v>
      </c>
      <c r="F32" s="156" t="e">
        <f>+#REF!+#REF!+#REF!</f>
        <v>#REF!</v>
      </c>
      <c r="I32" s="170" t="e">
        <f>B32+C32+D32+H32-F32</f>
        <v>#REF!</v>
      </c>
      <c r="J32" s="171">
        <v>320171.73</v>
      </c>
    </row>
    <row r="33" spans="1:10" ht="12.75">
      <c r="A33" s="9" t="s">
        <v>14</v>
      </c>
      <c r="B33" s="178"/>
      <c r="C33" s="167">
        <f>+'[5]BSYTD'!$B$148+'[5]BSYTD'!$B$149+'[5]BSYTD'!$B$150+'[5]BSYTD'!$B$147</f>
        <v>1021370</v>
      </c>
      <c r="D33" s="168">
        <f>+'[5]BSYTD'!$D$151+'[5]BSYTD'!$D$152</f>
        <v>288135</v>
      </c>
      <c r="E33" s="164"/>
      <c r="G33" s="125"/>
      <c r="I33" s="170">
        <f>B33+C33+D33-F33+H33</f>
        <v>1309505</v>
      </c>
      <c r="J33" s="171">
        <v>4573464</v>
      </c>
    </row>
    <row r="34" spans="1:10" ht="12.75">
      <c r="A34" s="9" t="s">
        <v>18</v>
      </c>
      <c r="B34" s="178">
        <f>+'[5]BSYTD'!$F$145</f>
        <v>-8927.29</v>
      </c>
      <c r="C34" s="167">
        <f>+'[5]BSYTD'!$B$145</f>
        <v>-371917.45</v>
      </c>
      <c r="D34" s="168">
        <f>+'[5]BSYTD'!$D$145</f>
        <v>-2536</v>
      </c>
      <c r="E34" s="164"/>
      <c r="G34" s="125"/>
      <c r="I34" s="170">
        <f>B34+C34+D34-F34+H34</f>
        <v>-383380.74</v>
      </c>
      <c r="J34" s="171">
        <v>115397.1</v>
      </c>
    </row>
    <row r="35" spans="1:10" ht="12.75">
      <c r="A35" s="88" t="s">
        <v>241</v>
      </c>
      <c r="B35" s="178"/>
      <c r="C35" s="167">
        <f>+'[2]BSYTD'!$B$16+'[2]BSYTD'!$B$17</f>
        <v>0</v>
      </c>
      <c r="D35" s="168"/>
      <c r="E35" s="164"/>
      <c r="G35" s="125"/>
      <c r="I35" s="170">
        <f>B35+C35+D35-F35+H35</f>
        <v>0</v>
      </c>
      <c r="J35" s="171"/>
    </row>
    <row r="36" spans="1:10" ht="12.75">
      <c r="A36" s="88" t="s">
        <v>216</v>
      </c>
      <c r="B36" s="179">
        <f>+'[3]BSYTD'!$F$126</f>
        <v>0</v>
      </c>
      <c r="C36" s="172">
        <f>+'[5]BSYTD'!$B$153</f>
        <v>4873926.74</v>
      </c>
      <c r="D36" s="173">
        <v>0</v>
      </c>
      <c r="E36" s="164"/>
      <c r="G36" s="125"/>
      <c r="I36" s="174">
        <f>+B36+C36+D36</f>
        <v>4873926.74</v>
      </c>
      <c r="J36" s="175">
        <v>0</v>
      </c>
    </row>
    <row r="37" spans="2:10" ht="12.75">
      <c r="B37" s="158">
        <f>SUM(B31:B34)</f>
        <v>2500960.71</v>
      </c>
      <c r="C37" s="158">
        <f>SUM(C31:C36)</f>
        <v>11007695.32</v>
      </c>
      <c r="D37" s="158">
        <f>SUM(D31:D36)</f>
        <v>367805.28</v>
      </c>
      <c r="G37" s="125"/>
      <c r="I37" s="156" t="e">
        <f>SUM(I31:I36)</f>
        <v>#REF!</v>
      </c>
      <c r="J37" s="89">
        <f>SUM(J31:J36)</f>
        <v>7434141.959999999</v>
      </c>
    </row>
    <row r="38" spans="1:10" ht="12.75">
      <c r="A38" s="49"/>
      <c r="B38" s="158"/>
      <c r="C38" s="158"/>
      <c r="D38" s="158"/>
      <c r="G38" s="125"/>
      <c r="J38" s="89"/>
    </row>
    <row r="39" spans="1:10" ht="12.75">
      <c r="A39" s="2" t="s">
        <v>19</v>
      </c>
      <c r="B39" s="158">
        <f>+B28-B37</f>
        <v>10162560.630000003</v>
      </c>
      <c r="C39" s="158">
        <f>+C28-C37</f>
        <v>5561491.189999998</v>
      </c>
      <c r="D39" s="158">
        <f>+D28-D37</f>
        <v>8364864.38</v>
      </c>
      <c r="G39" s="125"/>
      <c r="I39" s="156" t="e">
        <f>I28-I37</f>
        <v>#REF!</v>
      </c>
      <c r="J39" s="89">
        <f>+J28-J37</f>
        <v>14713777.87</v>
      </c>
    </row>
    <row r="40" spans="2:10" ht="12.75">
      <c r="B40" s="158"/>
      <c r="C40" s="158"/>
      <c r="D40" s="158"/>
      <c r="G40" s="125"/>
      <c r="J40" s="89"/>
    </row>
    <row r="41" spans="2:10" ht="13.5" thickBot="1">
      <c r="B41" s="180">
        <f>+B13+B15+B16+B17+B18+B19+B39</f>
        <v>15940243.030000003</v>
      </c>
      <c r="C41" s="180">
        <f>+C13+C15+C16+C17+C18+C19+C39+C14</f>
        <v>7488729.349999998</v>
      </c>
      <c r="D41" s="180">
        <f>+D13+D15+D16+D17+D18+D19+D39</f>
        <v>9555753.84</v>
      </c>
      <c r="E41" s="164"/>
      <c r="G41" s="125"/>
      <c r="I41" s="181" t="e">
        <f>I13+I15+I16+I18+I19+I39+I17+I14</f>
        <v>#REF!</v>
      </c>
      <c r="J41" s="182">
        <f>+J13+J15+J17+J16+J18+J19+J39</f>
        <v>17983183.797</v>
      </c>
    </row>
    <row r="42" spans="2:10" ht="13.5" thickTop="1">
      <c r="B42" s="158"/>
      <c r="C42" s="158"/>
      <c r="D42" s="158"/>
      <c r="G42" s="125"/>
      <c r="J42" s="89"/>
    </row>
    <row r="43" spans="1:10" ht="12.75">
      <c r="A43" s="2" t="s">
        <v>20</v>
      </c>
      <c r="B43" s="105"/>
      <c r="C43" s="158"/>
      <c r="D43" s="158"/>
      <c r="G43" s="125"/>
      <c r="J43" s="89"/>
    </row>
    <row r="44" spans="2:10" ht="12.75">
      <c r="B44" s="105"/>
      <c r="C44" s="158"/>
      <c r="D44" s="158"/>
      <c r="G44" s="125"/>
      <c r="J44" s="89"/>
    </row>
    <row r="45" spans="1:10" ht="12.75">
      <c r="A45" s="2" t="s">
        <v>21</v>
      </c>
      <c r="B45" s="107">
        <f>+'[5]BSYTD'!$F$7</f>
        <v>9851106</v>
      </c>
      <c r="C45" s="158">
        <f>+'[5]BSYTD'!$B$7</f>
        <v>3223226.48</v>
      </c>
      <c r="D45" s="158">
        <f>+'[4]BSYTD'!$D$7</f>
        <v>35000</v>
      </c>
      <c r="E45" s="161" t="s">
        <v>212</v>
      </c>
      <c r="F45" s="156" t="e">
        <f>+#REF!+#REF!+0.48</f>
        <v>#REF!</v>
      </c>
      <c r="G45" s="125"/>
      <c r="I45" s="156" t="e">
        <f>+B45+C45+D45-F45+H45</f>
        <v>#REF!</v>
      </c>
      <c r="J45" s="89">
        <v>9723226.48</v>
      </c>
    </row>
    <row r="46" spans="1:10" ht="12.75">
      <c r="A46" s="2" t="s">
        <v>22</v>
      </c>
      <c r="B46" s="107">
        <f>+'[5]BSYTD'!$F$9</f>
        <v>5748927.42</v>
      </c>
      <c r="C46" s="158"/>
      <c r="D46" s="158"/>
      <c r="G46" s="125"/>
      <c r="I46" s="156">
        <f>+B46+C46+D46-F46+H46+0.08</f>
        <v>5748927.5</v>
      </c>
      <c r="J46" s="89">
        <v>5559250.16</v>
      </c>
    </row>
    <row r="47" spans="1:10" ht="12.75">
      <c r="A47" s="2" t="s">
        <v>307</v>
      </c>
      <c r="B47" s="107">
        <f>+'[5]BSYTD'!$F$10</f>
        <v>44910</v>
      </c>
      <c r="C47" s="158"/>
      <c r="D47" s="158"/>
      <c r="G47" s="125"/>
      <c r="I47" s="156">
        <f>+B47+C47+D47-F47+H47+0.08</f>
        <v>44910.08</v>
      </c>
      <c r="J47" s="89"/>
    </row>
    <row r="48" spans="1:10" ht="12.75">
      <c r="A48" s="2" t="s">
        <v>29</v>
      </c>
      <c r="B48" s="155">
        <f>+'[5]BSYTD'!$F$11+'[5]BSYTD'!$F$12</f>
        <v>295299.61</v>
      </c>
      <c r="C48" s="160">
        <f>+'[5]BSYTD'!$B$11+'[5]BSYTD'!$B$12</f>
        <v>4236502.87</v>
      </c>
      <c r="D48" s="158">
        <f>+'[5]BSYTD'!$D$8+'[5]BSYTD'!$D$11+'[5]BSYTD'!$D$12</f>
        <v>9520753.84</v>
      </c>
      <c r="E48" s="157">
        <v>2</v>
      </c>
      <c r="F48" s="156" t="e">
        <f>+#REF!</f>
        <v>#REF!</v>
      </c>
      <c r="G48" s="183" t="s">
        <v>233</v>
      </c>
      <c r="H48" s="156" t="e">
        <f>+#REF!</f>
        <v>#REF!</v>
      </c>
      <c r="I48" s="156" t="e">
        <f>+B48+C48+D48-F48-F49+H48-F50+H49-0.5</f>
        <v>#REF!</v>
      </c>
      <c r="J48" s="89">
        <v>2690706.7869999995</v>
      </c>
    </row>
    <row r="49" spans="1:10" s="116" customFormat="1" ht="12.75">
      <c r="A49" s="123"/>
      <c r="B49" s="106"/>
      <c r="C49" s="160"/>
      <c r="D49" s="158"/>
      <c r="E49" s="157">
        <v>3</v>
      </c>
      <c r="F49" s="156">
        <f>+H19</f>
        <v>232985.52</v>
      </c>
      <c r="G49" s="161" t="s">
        <v>313</v>
      </c>
      <c r="H49" s="156" t="e">
        <f>+F17+0.48</f>
        <v>#REF!</v>
      </c>
      <c r="I49" s="156"/>
      <c r="J49" s="156"/>
    </row>
    <row r="50" spans="1:10" s="116" customFormat="1" ht="12.75">
      <c r="A50" s="123"/>
      <c r="B50" s="184"/>
      <c r="C50" s="184"/>
      <c r="D50" s="184"/>
      <c r="E50" s="157" t="e">
        <f>+#REF!</f>
        <v>#REF!</v>
      </c>
      <c r="F50" s="156" t="e">
        <f>+H17</f>
        <v>#REF!</v>
      </c>
      <c r="I50" s="185"/>
      <c r="J50" s="185"/>
    </row>
    <row r="51" spans="1:10" ht="12.75">
      <c r="A51" s="2" t="s">
        <v>23</v>
      </c>
      <c r="B51" s="158">
        <f>SUM(B45:B50)</f>
        <v>15940243.03</v>
      </c>
      <c r="C51" s="158">
        <f>SUM(C45:C50)</f>
        <v>7459729.35</v>
      </c>
      <c r="D51" s="158">
        <f>SUM(D45:D48)</f>
        <v>9555753.84</v>
      </c>
      <c r="G51" s="125"/>
      <c r="I51" s="156" t="e">
        <f>SUM(I45:I48)</f>
        <v>#REF!</v>
      </c>
      <c r="J51" s="89">
        <f>SUM(J45:J50)</f>
        <v>17973183.427</v>
      </c>
    </row>
    <row r="52" spans="2:10" ht="12.75">
      <c r="B52" s="158"/>
      <c r="C52" s="158"/>
      <c r="D52" s="158"/>
      <c r="G52" s="125"/>
      <c r="J52" s="89"/>
    </row>
    <row r="53" spans="1:10" ht="12.75">
      <c r="A53" s="2" t="s">
        <v>30</v>
      </c>
      <c r="B53" s="158"/>
      <c r="C53" s="158"/>
      <c r="D53" s="158"/>
      <c r="G53" s="125"/>
      <c r="J53" s="89"/>
    </row>
    <row r="54" spans="1:10" ht="12.75">
      <c r="A54" s="9" t="s">
        <v>31</v>
      </c>
      <c r="B54" s="158">
        <v>0</v>
      </c>
      <c r="C54" s="158">
        <f>+'[4]BSYTD'!$B$19</f>
        <v>29000</v>
      </c>
      <c r="D54" s="158">
        <v>0</v>
      </c>
      <c r="G54" s="125"/>
      <c r="I54" s="186">
        <f>B53+C54+D54-F54+H54</f>
        <v>29000</v>
      </c>
      <c r="J54" s="89">
        <v>10000</v>
      </c>
    </row>
    <row r="55" spans="1:10" ht="12.75">
      <c r="A55" s="9" t="s">
        <v>241</v>
      </c>
      <c r="B55" s="158"/>
      <c r="C55" s="158">
        <f>+'[2]BSYTD'!$B$16</f>
        <v>0</v>
      </c>
      <c r="D55" s="158"/>
      <c r="G55" s="125"/>
      <c r="I55" s="186">
        <f>B54+C55+D55-F55+H55</f>
        <v>0</v>
      </c>
      <c r="J55" s="89">
        <v>0</v>
      </c>
    </row>
    <row r="56" spans="2:10" ht="12.75">
      <c r="B56" s="160"/>
      <c r="C56" s="158"/>
      <c r="D56" s="158"/>
      <c r="G56" s="125"/>
      <c r="J56" s="89"/>
    </row>
    <row r="57" spans="2:10" ht="13.5" thickBot="1">
      <c r="B57" s="180">
        <f>+B51+B54</f>
        <v>15940243.03</v>
      </c>
      <c r="C57" s="180">
        <f>SUM(C51:C55)</f>
        <v>7488729.35</v>
      </c>
      <c r="D57" s="180">
        <f>+D51+D54</f>
        <v>9555753.84</v>
      </c>
      <c r="E57" s="164"/>
      <c r="F57" s="156" t="e">
        <f>SUM(F13:F56)</f>
        <v>#REF!</v>
      </c>
      <c r="G57" s="125"/>
      <c r="H57" s="156" t="e">
        <f>SUM(H13:H56)</f>
        <v>#REF!</v>
      </c>
      <c r="I57" s="181" t="e">
        <f>SUM(I51:I55)</f>
        <v>#REF!</v>
      </c>
      <c r="J57" s="182">
        <f>+J51+J54+J55</f>
        <v>17983183.427</v>
      </c>
    </row>
    <row r="58" spans="1:10" ht="13.5" thickTop="1">
      <c r="A58" s="84" t="s">
        <v>210</v>
      </c>
      <c r="B58" s="159">
        <f>+B57-'[5]BSYTD'!$G$162</f>
        <v>0</v>
      </c>
      <c r="C58" s="159">
        <f>+C41-C57</f>
        <v>0</v>
      </c>
      <c r="D58" s="159">
        <f>+D41-D57</f>
        <v>0</v>
      </c>
      <c r="G58" s="187"/>
      <c r="H58" s="159" t="e">
        <f>+F57-H57</f>
        <v>#REF!</v>
      </c>
      <c r="I58" s="122" t="e">
        <f>I41-I57</f>
        <v>#REF!</v>
      </c>
      <c r="J58" s="89">
        <f>+J41-J57</f>
        <v>0.369999997317791</v>
      </c>
    </row>
    <row r="59" spans="7:8" ht="12.75">
      <c r="G59" s="187"/>
      <c r="H59" s="156" t="e">
        <f>+H57-#REF!</f>
        <v>#REF!</v>
      </c>
    </row>
    <row r="60" ht="12.75">
      <c r="G60" s="187"/>
    </row>
    <row r="61" ht="12.75">
      <c r="G61" s="187"/>
    </row>
  </sheetData>
  <sheetProtection/>
  <printOptions/>
  <pageMargins left="0.52" right="0.43" top="0.21" bottom="0.45" header="0.21" footer="0.19"/>
  <pageSetup fitToHeight="1" fitToWidth="1" horizontalDpi="600" verticalDpi="600" orientation="landscape" paperSize="9" scale="75" r:id="rId3"/>
  <headerFooter alignWithMargins="0">
    <oddFooter>&amp;C&amp;D&amp;T</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55"/>
  <sheetViews>
    <sheetView tabSelected="1" zoomScalePageLayoutView="0" workbookViewId="0" topLeftCell="A1">
      <selection activeCell="A11" sqref="A11"/>
    </sheetView>
  </sheetViews>
  <sheetFormatPr defaultColWidth="9.140625" defaultRowHeight="12.75"/>
  <cols>
    <col min="1" max="1" width="46.140625" style="0" customWidth="1"/>
    <col min="2" max="2" width="15.421875" style="3" bestFit="1" customWidth="1"/>
    <col min="3" max="3" width="14.57421875" style="3" customWidth="1"/>
    <col min="4" max="4" width="15.57421875" style="3" customWidth="1"/>
    <col min="5" max="5" width="14.421875" style="3" customWidth="1"/>
    <col min="7" max="7" width="14.7109375" style="0" customWidth="1"/>
    <col min="8" max="8" width="10.8515625" style="0" bestFit="1" customWidth="1"/>
  </cols>
  <sheetData>
    <row r="1" ht="12.75">
      <c r="A1" s="2" t="s">
        <v>137</v>
      </c>
    </row>
    <row r="2" ht="12.75">
      <c r="A2" s="9" t="s">
        <v>48</v>
      </c>
    </row>
    <row r="3" ht="12.75">
      <c r="A3" s="22" t="s">
        <v>49</v>
      </c>
    </row>
    <row r="4" ht="12.75">
      <c r="A4" s="22" t="s">
        <v>327</v>
      </c>
    </row>
    <row r="5" ht="12.75">
      <c r="A5" s="23" t="s">
        <v>9</v>
      </c>
    </row>
    <row r="6" ht="12.75">
      <c r="A6" s="9"/>
    </row>
    <row r="7" ht="12.75">
      <c r="A7" s="21" t="s">
        <v>332</v>
      </c>
    </row>
    <row r="8" ht="12.75">
      <c r="A8" s="188" t="s">
        <v>327</v>
      </c>
    </row>
    <row r="10" spans="1:5" ht="12.75">
      <c r="A10" s="44"/>
      <c r="B10" s="198" t="s">
        <v>231</v>
      </c>
      <c r="C10" s="198"/>
      <c r="D10" s="198" t="s">
        <v>215</v>
      </c>
      <c r="E10" s="198"/>
    </row>
    <row r="11" spans="1:5" ht="12.75">
      <c r="A11" s="44"/>
      <c r="B11" s="62" t="s">
        <v>134</v>
      </c>
      <c r="C11" s="62" t="s">
        <v>134</v>
      </c>
      <c r="D11" s="62" t="s">
        <v>135</v>
      </c>
      <c r="E11" s="62" t="s">
        <v>135</v>
      </c>
    </row>
    <row r="12" spans="1:5" ht="12.75">
      <c r="A12" s="47"/>
      <c r="B12" s="30" t="s">
        <v>326</v>
      </c>
      <c r="C12" s="30" t="s">
        <v>324</v>
      </c>
      <c r="D12" s="30" t="s">
        <v>326</v>
      </c>
      <c r="E12" s="30" t="s">
        <v>324</v>
      </c>
    </row>
    <row r="13" spans="1:5" ht="12.75">
      <c r="A13" s="19"/>
      <c r="B13" s="4" t="s">
        <v>3</v>
      </c>
      <c r="C13" s="4" t="s">
        <v>3</v>
      </c>
      <c r="D13" s="4" t="s">
        <v>3</v>
      </c>
      <c r="E13" s="4" t="s">
        <v>3</v>
      </c>
    </row>
    <row r="14" spans="1:8" ht="12.75">
      <c r="A14" s="9"/>
      <c r="G14" s="39"/>
      <c r="H14" s="39"/>
    </row>
    <row r="15" spans="1:8" ht="12.75">
      <c r="A15" s="9" t="s">
        <v>128</v>
      </c>
      <c r="B15" s="3">
        <v>4474116.72</v>
      </c>
      <c r="C15" s="3">
        <v>3831088.49</v>
      </c>
      <c r="D15" s="3">
        <v>4474116.72</v>
      </c>
      <c r="E15" s="3">
        <v>3831088.49</v>
      </c>
      <c r="G15" s="26"/>
      <c r="H15" s="189"/>
    </row>
    <row r="16" spans="1:8" ht="12.75">
      <c r="A16" s="9"/>
      <c r="G16" s="26"/>
      <c r="H16" s="39"/>
    </row>
    <row r="17" spans="1:8" ht="12.75">
      <c r="A17" s="9" t="s">
        <v>353</v>
      </c>
      <c r="B17" s="3">
        <v>-3179119.15</v>
      </c>
      <c r="C17" s="3">
        <v>-2839281.27</v>
      </c>
      <c r="D17" s="3">
        <v>-3179119.15</v>
      </c>
      <c r="E17" s="3">
        <v>-2839281.27</v>
      </c>
      <c r="G17" s="26"/>
      <c r="H17" s="189"/>
    </row>
    <row r="18" spans="1:8" ht="12.75">
      <c r="A18" s="9"/>
      <c r="B18" s="115"/>
      <c r="C18" s="115"/>
      <c r="D18" s="115"/>
      <c r="E18" s="115"/>
      <c r="G18" s="190"/>
      <c r="H18" s="39"/>
    </row>
    <row r="19" spans="1:8" ht="12.75">
      <c r="A19" s="9" t="s">
        <v>354</v>
      </c>
      <c r="B19" s="10">
        <v>82340.18</v>
      </c>
      <c r="C19" s="10">
        <v>113473.26000000001</v>
      </c>
      <c r="D19" s="10">
        <v>82340.18</v>
      </c>
      <c r="E19" s="10">
        <v>113473.26000000001</v>
      </c>
      <c r="G19" s="26"/>
      <c r="H19" s="189"/>
    </row>
    <row r="20" spans="1:8" ht="12.75">
      <c r="A20" s="9"/>
      <c r="G20" s="26"/>
      <c r="H20" s="39"/>
    </row>
    <row r="21" spans="1:8" ht="12.75">
      <c r="A21" s="9" t="s">
        <v>174</v>
      </c>
      <c r="B21" s="3">
        <v>1377337.75</v>
      </c>
      <c r="C21" s="3">
        <v>1105280.4800000002</v>
      </c>
      <c r="D21" s="3">
        <v>1377337.75</v>
      </c>
      <c r="E21" s="3">
        <v>1105280.4800000002</v>
      </c>
      <c r="G21" s="26"/>
      <c r="H21" s="26"/>
    </row>
    <row r="22" spans="1:8" ht="12.75">
      <c r="A22" s="9"/>
      <c r="B22" s="115"/>
      <c r="D22" s="115"/>
      <c r="E22" s="115"/>
      <c r="G22" s="190"/>
      <c r="H22" s="190"/>
    </row>
    <row r="23" spans="1:8" ht="12.75">
      <c r="A23" s="9" t="s">
        <v>80</v>
      </c>
      <c r="B23" s="10">
        <v>-165053</v>
      </c>
      <c r="C23" s="10">
        <v>-82896</v>
      </c>
      <c r="D23" s="10">
        <v>-165053</v>
      </c>
      <c r="E23" s="10">
        <v>-82896</v>
      </c>
      <c r="G23" s="26"/>
      <c r="H23" s="26"/>
    </row>
    <row r="24" spans="1:8" ht="12.75">
      <c r="A24" s="9"/>
      <c r="B24" s="114"/>
      <c r="C24" s="114"/>
      <c r="D24" s="26"/>
      <c r="E24" s="26"/>
      <c r="G24" s="191"/>
      <c r="H24" s="26"/>
    </row>
    <row r="25" spans="1:8" ht="13.5" thickBot="1">
      <c r="A25" s="9" t="s">
        <v>129</v>
      </c>
      <c r="B25" s="63">
        <v>1212284.75</v>
      </c>
      <c r="C25" s="63">
        <v>1022384.4800000002</v>
      </c>
      <c r="D25" s="63">
        <v>1212284.75</v>
      </c>
      <c r="E25" s="63">
        <v>1022384.4800000002</v>
      </c>
      <c r="G25" s="191"/>
      <c r="H25" s="26"/>
    </row>
    <row r="26" spans="1:8" ht="13.5" thickTop="1">
      <c r="A26" s="9"/>
      <c r="B26" s="114"/>
      <c r="C26" s="114"/>
      <c r="D26" s="26"/>
      <c r="E26" s="26">
        <v>0</v>
      </c>
      <c r="G26" s="191"/>
      <c r="H26" s="26"/>
    </row>
    <row r="27" spans="1:8" ht="12.75">
      <c r="A27" s="18"/>
      <c r="G27" s="39"/>
      <c r="H27" s="39"/>
    </row>
    <row r="28" spans="1:8" ht="12.75">
      <c r="A28" s="9" t="s">
        <v>130</v>
      </c>
      <c r="B28" s="12">
        <v>101112660</v>
      </c>
      <c r="C28" s="12">
        <v>98463594</v>
      </c>
      <c r="D28" s="12">
        <v>101112660</v>
      </c>
      <c r="E28" s="3">
        <v>98463594</v>
      </c>
      <c r="G28" s="39"/>
      <c r="H28" s="39"/>
    </row>
    <row r="29" spans="1:8" ht="12.75">
      <c r="A29" s="9"/>
      <c r="G29" s="39"/>
      <c r="H29" s="39"/>
    </row>
    <row r="30" ht="12.75">
      <c r="A30" s="9" t="s">
        <v>131</v>
      </c>
    </row>
    <row r="31" spans="1:5" ht="12.75">
      <c r="A31" s="46" t="s">
        <v>132</v>
      </c>
      <c r="B31" s="60">
        <v>1.1989445733106026</v>
      </c>
      <c r="C31" s="60">
        <v>1.0383375605810206</v>
      </c>
      <c r="D31" s="60">
        <v>1.1989445733106026</v>
      </c>
      <c r="E31" s="60">
        <v>1.0383375605810206</v>
      </c>
    </row>
    <row r="32" spans="1:5" ht="12.75">
      <c r="A32" s="46" t="s">
        <v>133</v>
      </c>
      <c r="B32" s="130">
        <v>1.1802924720115568</v>
      </c>
      <c r="C32" s="130">
        <v>1.0047621783253207</v>
      </c>
      <c r="D32" s="130">
        <v>1.1802924720115568</v>
      </c>
      <c r="E32" s="131">
        <v>1.0047621783253207</v>
      </c>
    </row>
    <row r="33" spans="1:5" ht="12.75">
      <c r="A33" s="18" t="s">
        <v>34</v>
      </c>
      <c r="E33" s="64"/>
    </row>
    <row r="34" spans="1:3" ht="12.75">
      <c r="A34" s="18"/>
      <c r="C34" s="60"/>
    </row>
    <row r="35" spans="1:3" ht="12.75">
      <c r="A35" s="45" t="s">
        <v>34</v>
      </c>
      <c r="C35" s="64"/>
    </row>
    <row r="36" spans="1:4" ht="12.75" hidden="1">
      <c r="A36" s="45"/>
      <c r="B36" s="82" t="s">
        <v>34</v>
      </c>
      <c r="D36" s="3" t="s">
        <v>34</v>
      </c>
    </row>
    <row r="37" spans="1:4" ht="12.75" hidden="1">
      <c r="A37" s="45" t="s">
        <v>34</v>
      </c>
      <c r="B37" s="82" t="s">
        <v>34</v>
      </c>
      <c r="D37" s="3" t="s">
        <v>34</v>
      </c>
    </row>
    <row r="38" spans="1:4" ht="12.75" hidden="1">
      <c r="A38" s="9"/>
      <c r="B38" s="82" t="s">
        <v>34</v>
      </c>
      <c r="D38" s="3" t="s">
        <v>34</v>
      </c>
    </row>
    <row r="39" spans="1:3" ht="12.75" hidden="1">
      <c r="A39" s="9" t="s">
        <v>34</v>
      </c>
      <c r="C39" s="82" t="s">
        <v>34</v>
      </c>
    </row>
    <row r="40" ht="12.75" hidden="1">
      <c r="A40" s="9"/>
    </row>
    <row r="41" ht="12.75" hidden="1">
      <c r="A41" s="9" t="s">
        <v>34</v>
      </c>
    </row>
    <row r="42" ht="12.75" hidden="1"/>
    <row r="43" ht="12.75" hidden="1"/>
    <row r="44" ht="12.75" hidden="1"/>
    <row r="45" ht="12.75" hidden="1"/>
    <row r="46" ht="12.75" hidden="1"/>
    <row r="47" ht="12.75" hidden="1"/>
    <row r="48" ht="12.75" hidden="1"/>
    <row r="49" ht="12.75" hidden="1"/>
    <row r="50" ht="12.75" hidden="1"/>
    <row r="53" ht="12.75">
      <c r="A53" s="65" t="s">
        <v>175</v>
      </c>
    </row>
    <row r="54" spans="1:5" ht="42" customHeight="1">
      <c r="A54" s="199" t="s">
        <v>333</v>
      </c>
      <c r="B54" s="200"/>
      <c r="C54" s="200"/>
      <c r="D54" s="200"/>
      <c r="E54" s="200"/>
    </row>
    <row r="55" ht="12.75">
      <c r="A55" s="9"/>
    </row>
  </sheetData>
  <sheetProtection/>
  <mergeCells count="3">
    <mergeCell ref="D10:E10"/>
    <mergeCell ref="B10:C10"/>
    <mergeCell ref="A54:E54"/>
  </mergeCells>
  <printOptions/>
  <pageMargins left="0.75" right="0.5" top="1" bottom="0.5" header="0.5" footer="0.36"/>
  <pageSetup fitToHeight="1" fitToWidth="1" horizontalDpi="300" verticalDpi="300" orientation="portrait" paperSize="9" scale="79"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A28" sqref="A28"/>
    </sheetView>
  </sheetViews>
  <sheetFormatPr defaultColWidth="9.140625" defaultRowHeight="12.75"/>
  <cols>
    <col min="1" max="1" width="70.7109375" style="0" customWidth="1"/>
    <col min="2" max="2" width="16.421875" style="3" customWidth="1"/>
    <col min="3" max="3" width="6.28125" style="0" customWidth="1"/>
    <col min="4" max="4" width="16.421875" style="0" bestFit="1" customWidth="1"/>
    <col min="5" max="5" width="16.00390625" style="0" bestFit="1" customWidth="1"/>
  </cols>
  <sheetData>
    <row r="1" ht="12.75">
      <c r="A1" s="2" t="s">
        <v>125</v>
      </c>
    </row>
    <row r="2" ht="12.75">
      <c r="A2" s="9" t="s">
        <v>48</v>
      </c>
    </row>
    <row r="3" ht="12.75">
      <c r="A3" s="22" t="s">
        <v>8</v>
      </c>
    </row>
    <row r="4" ht="12.75">
      <c r="A4" s="22" t="s">
        <v>327</v>
      </c>
    </row>
    <row r="5" ht="12.75">
      <c r="A5" s="23" t="s">
        <v>9</v>
      </c>
    </row>
    <row r="6" ht="12.75">
      <c r="A6" s="9"/>
    </row>
    <row r="7" spans="1:4" ht="12.75">
      <c r="A7" s="22" t="s">
        <v>328</v>
      </c>
      <c r="D7" s="3"/>
    </row>
    <row r="8" spans="1:4" ht="12.75">
      <c r="A8" s="22"/>
      <c r="D8" s="3"/>
    </row>
    <row r="9" spans="1:4" ht="12.75">
      <c r="A9" s="22"/>
      <c r="B9" s="62" t="s">
        <v>235</v>
      </c>
      <c r="D9" s="30" t="s">
        <v>244</v>
      </c>
    </row>
    <row r="10" spans="1:4" ht="12.75">
      <c r="A10" s="22"/>
      <c r="B10" s="30" t="s">
        <v>326</v>
      </c>
      <c r="C10" s="50"/>
      <c r="D10" s="30" t="s">
        <v>323</v>
      </c>
    </row>
    <row r="11" spans="1:4" ht="12.75">
      <c r="A11" s="22"/>
      <c r="B11" s="30" t="s">
        <v>3</v>
      </c>
      <c r="D11" s="30" t="s">
        <v>3</v>
      </c>
    </row>
    <row r="12" spans="1:4" ht="12.75">
      <c r="A12" s="2" t="s">
        <v>191</v>
      </c>
      <c r="B12" s="3">
        <v>10111266</v>
      </c>
      <c r="D12" s="3">
        <v>10111266</v>
      </c>
    </row>
    <row r="13" spans="1:4" ht="12.75">
      <c r="A13" s="2" t="s">
        <v>190</v>
      </c>
      <c r="B13" s="3">
        <v>6241587.42</v>
      </c>
      <c r="D13" s="3">
        <v>6241587.42</v>
      </c>
    </row>
    <row r="14" spans="1:4" ht="12.75">
      <c r="A14" s="2" t="s">
        <v>309</v>
      </c>
      <c r="B14" s="3">
        <v>50432</v>
      </c>
      <c r="D14" s="3">
        <v>50432</v>
      </c>
    </row>
    <row r="15" spans="1:4" ht="12.75">
      <c r="A15" s="2" t="s">
        <v>316</v>
      </c>
      <c r="B15" s="3">
        <v>10011680.68</v>
      </c>
      <c r="D15" s="3">
        <v>8799396</v>
      </c>
    </row>
    <row r="16" spans="2:6" ht="12.75">
      <c r="B16" s="10"/>
      <c r="D16" s="10"/>
      <c r="E16" s="14"/>
      <c r="F16" s="14"/>
    </row>
    <row r="17" spans="1:5" ht="12.75">
      <c r="A17" s="2" t="s">
        <v>350</v>
      </c>
      <c r="B17" s="3">
        <v>26414966.1</v>
      </c>
      <c r="D17" s="3">
        <v>25202681.42</v>
      </c>
      <c r="E17" s="109"/>
    </row>
    <row r="18" ht="12.75">
      <c r="D18" s="3"/>
    </row>
    <row r="19" spans="1:4" ht="12.75">
      <c r="A19" s="2" t="s">
        <v>351</v>
      </c>
      <c r="D19" s="3"/>
    </row>
    <row r="20" spans="1:4" ht="12.75">
      <c r="A20" s="9" t="s">
        <v>31</v>
      </c>
      <c r="B20" s="3">
        <v>63000</v>
      </c>
      <c r="D20" s="3">
        <v>63000</v>
      </c>
    </row>
    <row r="21" spans="1:4" ht="12.75">
      <c r="A21" s="9"/>
      <c r="D21" s="3"/>
    </row>
    <row r="22" spans="1:5" ht="13.5" thickBot="1">
      <c r="A22" s="9"/>
      <c r="B22" s="8">
        <v>26477966.1</v>
      </c>
      <c r="D22" s="8">
        <v>25265681.42</v>
      </c>
      <c r="E22" s="13"/>
    </row>
    <row r="23" spans="1:4" ht="13.5" thickTop="1">
      <c r="A23" s="22"/>
      <c r="D23" s="3"/>
    </row>
    <row r="24" spans="1:4" ht="12.75">
      <c r="A24" s="23" t="s">
        <v>234</v>
      </c>
      <c r="D24" s="3"/>
    </row>
    <row r="25" spans="1:4" ht="12.75">
      <c r="A25" s="23"/>
      <c r="D25" s="3"/>
    </row>
    <row r="26" spans="1:4" ht="12.75">
      <c r="A26" s="2" t="s">
        <v>318</v>
      </c>
      <c r="D26" s="3"/>
    </row>
    <row r="27" spans="1:4" ht="12.75">
      <c r="A27" s="9" t="s">
        <v>126</v>
      </c>
      <c r="B27" s="3">
        <v>2459796.47</v>
      </c>
      <c r="D27" s="3">
        <v>2570153</v>
      </c>
    </row>
    <row r="28" spans="1:4" ht="12.75">
      <c r="A28" s="9" t="s">
        <v>335</v>
      </c>
      <c r="B28" s="3">
        <v>7166265.81</v>
      </c>
      <c r="D28" s="3">
        <v>0</v>
      </c>
    </row>
    <row r="29" spans="1:4" ht="12.75">
      <c r="A29" s="9" t="s">
        <v>352</v>
      </c>
      <c r="B29" s="3">
        <v>254250</v>
      </c>
      <c r="D29" s="3">
        <v>255000</v>
      </c>
    </row>
    <row r="30" spans="1:4" ht="12.75">
      <c r="A30" s="9" t="s">
        <v>317</v>
      </c>
      <c r="B30" s="3">
        <v>107038.4</v>
      </c>
      <c r="D30" s="3">
        <v>107038</v>
      </c>
    </row>
    <row r="31" spans="1:4" ht="12.75">
      <c r="A31" s="9" t="s">
        <v>343</v>
      </c>
      <c r="B31" s="3">
        <v>510750</v>
      </c>
      <c r="D31" s="3">
        <v>486000</v>
      </c>
    </row>
    <row r="32" spans="1:4" ht="12.75">
      <c r="A32" s="9" t="s">
        <v>4</v>
      </c>
      <c r="B32" s="3">
        <v>1514405.37</v>
      </c>
      <c r="D32" s="3">
        <v>1514405</v>
      </c>
    </row>
    <row r="33" spans="1:4" ht="12.75">
      <c r="A33" s="9"/>
      <c r="D33" s="3"/>
    </row>
    <row r="34" spans="1:4" ht="12.75">
      <c r="A34" s="2" t="s">
        <v>11</v>
      </c>
      <c r="D34" s="3"/>
    </row>
    <row r="35" spans="1:4" ht="12.75">
      <c r="A35" s="9" t="s">
        <v>344</v>
      </c>
      <c r="B35" s="5">
        <v>8184510.130000001</v>
      </c>
      <c r="D35" s="5">
        <v>5548108</v>
      </c>
    </row>
    <row r="36" spans="1:4" ht="12.75">
      <c r="A36" s="88" t="s">
        <v>342</v>
      </c>
      <c r="B36" s="6">
        <v>13701.52</v>
      </c>
      <c r="D36" s="6">
        <v>500</v>
      </c>
    </row>
    <row r="37" spans="1:4" ht="12.75">
      <c r="A37" s="88" t="s">
        <v>319</v>
      </c>
      <c r="B37" s="6">
        <v>20082001.810000002</v>
      </c>
      <c r="D37" s="6">
        <v>36525342</v>
      </c>
    </row>
    <row r="38" spans="1:4" ht="12.75">
      <c r="A38" s="88" t="s">
        <v>345</v>
      </c>
      <c r="B38" s="6">
        <v>133946.55</v>
      </c>
      <c r="D38" s="6">
        <v>106481</v>
      </c>
    </row>
    <row r="39" spans="1:4" ht="12.75">
      <c r="A39" s="9" t="s">
        <v>170</v>
      </c>
      <c r="B39" s="7">
        <v>1582224.11</v>
      </c>
      <c r="D39" s="7">
        <v>2711566</v>
      </c>
    </row>
    <row r="40" ht="12.75">
      <c r="D40" s="3"/>
    </row>
    <row r="41" spans="2:5" ht="12.75">
      <c r="B41" s="3">
        <v>29996385.12</v>
      </c>
      <c r="D41" s="3">
        <v>44891997</v>
      </c>
      <c r="E41" s="14"/>
    </row>
    <row r="42" ht="12.75">
      <c r="D42" s="3"/>
    </row>
    <row r="43" spans="1:4" ht="12.75">
      <c r="A43" s="2" t="s">
        <v>347</v>
      </c>
      <c r="D43" s="3"/>
    </row>
    <row r="44" spans="1:4" ht="12.75">
      <c r="A44" s="9" t="s">
        <v>346</v>
      </c>
      <c r="B44" s="5">
        <v>721127.59</v>
      </c>
      <c r="D44" s="5">
        <v>2607790</v>
      </c>
    </row>
    <row r="45" spans="1:4" ht="12.75">
      <c r="A45" t="s">
        <v>217</v>
      </c>
      <c r="B45" s="6">
        <v>14805887.62</v>
      </c>
      <c r="D45" s="6">
        <v>11840779</v>
      </c>
    </row>
    <row r="46" spans="1:4" ht="12.75">
      <c r="A46" s="9" t="s">
        <v>348</v>
      </c>
      <c r="B46" s="6">
        <v>0</v>
      </c>
      <c r="D46" s="6">
        <v>10110256</v>
      </c>
    </row>
    <row r="47" spans="1:4" ht="12.75">
      <c r="A47" t="s">
        <v>349</v>
      </c>
      <c r="B47" s="7">
        <v>3908.04</v>
      </c>
      <c r="D47" s="7">
        <v>87</v>
      </c>
    </row>
    <row r="48" spans="1:5" ht="12.75">
      <c r="A48" s="44" t="s">
        <v>34</v>
      </c>
      <c r="B48" s="3">
        <v>15530924.249999998</v>
      </c>
      <c r="D48" s="3">
        <v>24558912</v>
      </c>
      <c r="E48" s="14"/>
    </row>
    <row r="49" spans="1:4" ht="12.75">
      <c r="A49" s="44" t="s">
        <v>34</v>
      </c>
      <c r="D49" s="3"/>
    </row>
    <row r="50" spans="1:5" ht="12.75">
      <c r="A50" s="2" t="s">
        <v>19</v>
      </c>
      <c r="B50" s="3">
        <v>14465460.870000003</v>
      </c>
      <c r="D50" s="3">
        <v>20333085</v>
      </c>
      <c r="E50" s="14"/>
    </row>
    <row r="51" spans="1:4" ht="12.75">
      <c r="A51" s="9"/>
      <c r="D51" s="3"/>
    </row>
    <row r="52" spans="1:5" ht="13.5" thickBot="1">
      <c r="A52" s="9"/>
      <c r="B52" s="8">
        <v>26477965.92</v>
      </c>
      <c r="D52" s="8">
        <v>25265681</v>
      </c>
      <c r="E52" s="14"/>
    </row>
    <row r="53" spans="1:4" ht="13.5" thickTop="1">
      <c r="A53" s="9"/>
      <c r="D53" s="14"/>
    </row>
    <row r="55" spans="1:4" ht="12.75">
      <c r="A55" s="2" t="s">
        <v>246</v>
      </c>
      <c r="B55" s="87">
        <v>26.124291557555704</v>
      </c>
      <c r="C55" s="87"/>
      <c r="D55" s="1">
        <v>24.92534705347481</v>
      </c>
    </row>
    <row r="56" ht="12.75">
      <c r="B56" s="60"/>
    </row>
    <row r="57" ht="12.75" hidden="1">
      <c r="B57" s="14" t="e">
        <v>#REF!</v>
      </c>
    </row>
    <row r="58" ht="12.75" hidden="1"/>
    <row r="59" ht="12.75" hidden="1"/>
    <row r="60" ht="12.75" hidden="1"/>
    <row r="61" ht="12.75" hidden="1"/>
    <row r="62" ht="12.75" hidden="1"/>
    <row r="63" ht="12.75" hidden="1"/>
    <row r="64" ht="12.75" hidden="1"/>
    <row r="65" ht="12.75" hidden="1"/>
    <row r="66" ht="12.75">
      <c r="D66" s="3"/>
    </row>
    <row r="67" ht="12.75">
      <c r="D67" s="3"/>
    </row>
    <row r="68" spans="2:4" ht="12.75">
      <c r="B68" s="115"/>
      <c r="D68" s="115"/>
    </row>
    <row r="69" spans="1:4" ht="30.75" customHeight="1">
      <c r="A69" s="199" t="s">
        <v>334</v>
      </c>
      <c r="B69" s="201"/>
      <c r="C69" s="201"/>
      <c r="D69" s="201"/>
    </row>
    <row r="70" ht="12.75">
      <c r="A70" s="9"/>
    </row>
  </sheetData>
  <sheetProtection/>
  <mergeCells count="1">
    <mergeCell ref="A69:D69"/>
  </mergeCells>
  <printOptions/>
  <pageMargins left="0.75" right="0.75" top="0.49" bottom="0.48" header="0.25" footer="0.32"/>
  <pageSetup fitToHeight="1" fitToWidth="1" horizontalDpi="600" verticalDpi="600" orientation="portrait" paperSize="9" scale="80"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19">
      <selection activeCell="C20" sqref="C20"/>
    </sheetView>
  </sheetViews>
  <sheetFormatPr defaultColWidth="9.140625" defaultRowHeight="12.75"/>
  <cols>
    <col min="2" max="2" width="12.8515625" style="0" bestFit="1" customWidth="1"/>
    <col min="3" max="3" width="12.28125" style="0" bestFit="1" customWidth="1"/>
    <col min="4" max="4" width="11.28125" style="0" bestFit="1" customWidth="1"/>
    <col min="5" max="6" width="12.28125" style="0" bestFit="1" customWidth="1"/>
    <col min="7" max="8" width="12.28125" style="0" customWidth="1"/>
    <col min="9" max="9" width="12.00390625" style="0" bestFit="1" customWidth="1"/>
    <col min="10" max="10" width="10.140625" style="0" bestFit="1" customWidth="1"/>
    <col min="11" max="11" width="10.140625" style="0" customWidth="1"/>
    <col min="12" max="12" width="7.421875" style="0" bestFit="1" customWidth="1"/>
  </cols>
  <sheetData>
    <row r="1" spans="1:5" ht="12.75">
      <c r="A1" s="132" t="s">
        <v>247</v>
      </c>
      <c r="C1" s="3"/>
      <c r="D1" s="3"/>
      <c r="E1" s="3"/>
    </row>
    <row r="2" spans="3:9" ht="12.75">
      <c r="C2" s="3"/>
      <c r="D2" s="3"/>
      <c r="E2" s="202" t="s">
        <v>248</v>
      </c>
      <c r="F2" s="202"/>
      <c r="G2" s="202" t="s">
        <v>296</v>
      </c>
      <c r="H2" s="202"/>
      <c r="I2" s="202"/>
    </row>
    <row r="3" spans="3:12" ht="12.75">
      <c r="C3" s="3"/>
      <c r="D3" s="1">
        <v>0.1</v>
      </c>
      <c r="E3" s="202" t="s">
        <v>250</v>
      </c>
      <c r="F3" s="202"/>
      <c r="G3" s="36" t="s">
        <v>292</v>
      </c>
      <c r="H3" s="36" t="s">
        <v>294</v>
      </c>
      <c r="I3" s="36" t="s">
        <v>294</v>
      </c>
      <c r="J3" t="s">
        <v>267</v>
      </c>
      <c r="K3" s="36" t="s">
        <v>303</v>
      </c>
      <c r="L3" s="36" t="s">
        <v>304</v>
      </c>
    </row>
    <row r="4" spans="3:9" ht="12.75">
      <c r="C4" s="27" t="s">
        <v>249</v>
      </c>
      <c r="D4" s="27" t="s">
        <v>3</v>
      </c>
      <c r="E4" s="27" t="s">
        <v>303</v>
      </c>
      <c r="F4" s="36" t="s">
        <v>304</v>
      </c>
      <c r="G4" s="36"/>
      <c r="H4" s="36" t="s">
        <v>303</v>
      </c>
      <c r="I4" s="36" t="s">
        <v>304</v>
      </c>
    </row>
    <row r="5" spans="1:9" ht="12.75">
      <c r="A5" t="s">
        <v>251</v>
      </c>
      <c r="C5" s="3">
        <v>10000000</v>
      </c>
      <c r="D5" s="3">
        <f>C5*D3</f>
        <v>1000000</v>
      </c>
      <c r="E5" s="14">
        <v>10000000</v>
      </c>
      <c r="F5" s="14">
        <v>10000000</v>
      </c>
      <c r="G5" s="14"/>
      <c r="H5" s="14"/>
      <c r="I5" s="14"/>
    </row>
    <row r="6" spans="3:4" ht="12.75">
      <c r="C6" s="3"/>
      <c r="D6" s="3"/>
    </row>
    <row r="7" spans="1:4" ht="12.75">
      <c r="A7" t="s">
        <v>252</v>
      </c>
      <c r="C7" s="3"/>
      <c r="D7" s="3"/>
    </row>
    <row r="8" spans="1:12" ht="12.75">
      <c r="A8" s="133" t="s">
        <v>253</v>
      </c>
      <c r="C8" s="3">
        <v>32232260</v>
      </c>
      <c r="D8" s="3">
        <f>C8*D3</f>
        <v>3223226</v>
      </c>
      <c r="E8" s="3">
        <f>ROUND((C8/91)*K8,0)</f>
        <v>32586461</v>
      </c>
      <c r="F8" s="3">
        <f>ROUND((C8/181)*L8,0)</f>
        <v>48615508</v>
      </c>
      <c r="G8" s="3"/>
      <c r="H8" s="3"/>
      <c r="I8" s="3"/>
      <c r="K8">
        <v>92</v>
      </c>
      <c r="L8">
        <v>273</v>
      </c>
    </row>
    <row r="9" spans="1:12" ht="12.75">
      <c r="A9" s="133" t="s">
        <v>256</v>
      </c>
      <c r="C9" s="3">
        <v>25000000</v>
      </c>
      <c r="D9" s="3">
        <f>C9*D3</f>
        <v>2500000</v>
      </c>
      <c r="E9" s="3">
        <f>ROUND((C9/91)*K9,0)</f>
        <v>25274725</v>
      </c>
      <c r="F9" s="3">
        <f>ROUND((C9/181)*L9,0)</f>
        <v>37707182</v>
      </c>
      <c r="G9" s="3"/>
      <c r="H9" s="3"/>
      <c r="I9" s="3"/>
      <c r="K9">
        <v>92</v>
      </c>
      <c r="L9">
        <v>273</v>
      </c>
    </row>
    <row r="10" spans="3:9" ht="12.75">
      <c r="C10" s="3"/>
      <c r="D10" s="3"/>
      <c r="E10" s="3"/>
      <c r="F10" s="3"/>
      <c r="G10" s="3"/>
      <c r="H10" s="3"/>
      <c r="I10" s="3"/>
    </row>
    <row r="11" spans="1:12" ht="12.75">
      <c r="A11" t="s">
        <v>257</v>
      </c>
      <c r="C11" s="26">
        <v>30000000</v>
      </c>
      <c r="D11" s="26">
        <f>C11*$D$3</f>
        <v>3000000</v>
      </c>
      <c r="E11" s="3">
        <f>ROUND((C11/91)*K11,0)</f>
        <v>30329670</v>
      </c>
      <c r="F11" s="26">
        <f>ROUND((C11/181)*L11,0)</f>
        <v>45248619</v>
      </c>
      <c r="G11" s="26" t="s">
        <v>34</v>
      </c>
      <c r="H11" s="26"/>
      <c r="I11" s="26"/>
      <c r="K11">
        <v>92</v>
      </c>
      <c r="L11">
        <v>273</v>
      </c>
    </row>
    <row r="12" spans="3:9" ht="12.75">
      <c r="C12" s="26"/>
      <c r="D12" s="26"/>
      <c r="E12" s="3"/>
      <c r="F12" s="26"/>
      <c r="G12" s="26"/>
      <c r="H12" s="26"/>
      <c r="I12" s="26"/>
    </row>
    <row r="13" spans="1:9" ht="12.75">
      <c r="A13" t="s">
        <v>268</v>
      </c>
      <c r="B13" s="3"/>
      <c r="C13" s="26"/>
      <c r="D13" s="26"/>
      <c r="E13" s="3"/>
      <c r="F13" s="26"/>
      <c r="G13" s="26"/>
      <c r="H13" s="26">
        <v>6674000</v>
      </c>
      <c r="I13" s="26">
        <v>6674000</v>
      </c>
    </row>
    <row r="14" spans="1:12" ht="12.75">
      <c r="A14" t="s">
        <v>269</v>
      </c>
      <c r="C14" s="26">
        <v>44000</v>
      </c>
      <c r="D14" s="26">
        <f aca="true" t="shared" si="0" ref="D14:D19">C14*$D$3</f>
        <v>4400</v>
      </c>
      <c r="E14" s="3">
        <f>ROUND((C14/91)*K14,0)</f>
        <v>44484</v>
      </c>
      <c r="F14" s="26">
        <f aca="true" t="shared" si="1" ref="F14:F20">ROUND((C14/181)*L14,0)</f>
        <v>66365</v>
      </c>
      <c r="G14" s="26"/>
      <c r="H14" s="26">
        <f>+H13-C14</f>
        <v>6630000</v>
      </c>
      <c r="I14" s="26">
        <f aca="true" t="shared" si="2" ref="I14:I20">+I13-C14</f>
        <v>6630000</v>
      </c>
      <c r="J14" t="s">
        <v>270</v>
      </c>
      <c r="K14">
        <v>92</v>
      </c>
      <c r="L14">
        <v>273</v>
      </c>
    </row>
    <row r="15" spans="1:12" ht="12.75">
      <c r="A15" t="s">
        <v>271</v>
      </c>
      <c r="C15" s="26">
        <v>84000</v>
      </c>
      <c r="D15" s="26">
        <f t="shared" si="0"/>
        <v>8400</v>
      </c>
      <c r="E15" s="3">
        <f aca="true" t="shared" si="3" ref="E15:E20">ROUND((C15/91)*K15,0)</f>
        <v>84923</v>
      </c>
      <c r="F15" s="26">
        <f t="shared" si="1"/>
        <v>126696</v>
      </c>
      <c r="G15" s="26"/>
      <c r="H15" s="26">
        <f aca="true" t="shared" si="4" ref="H15:H20">+H14-C15</f>
        <v>6546000</v>
      </c>
      <c r="I15" s="26">
        <f t="shared" si="2"/>
        <v>6546000</v>
      </c>
      <c r="J15" t="s">
        <v>272</v>
      </c>
      <c r="K15">
        <v>92</v>
      </c>
      <c r="L15">
        <v>273</v>
      </c>
    </row>
    <row r="16" spans="1:12" ht="12.75">
      <c r="A16" t="s">
        <v>273</v>
      </c>
      <c r="C16" s="26">
        <v>44000</v>
      </c>
      <c r="D16" s="26">
        <f t="shared" si="0"/>
        <v>4400</v>
      </c>
      <c r="E16" s="3">
        <f t="shared" si="3"/>
        <v>44484</v>
      </c>
      <c r="F16" s="26">
        <f t="shared" si="1"/>
        <v>66365</v>
      </c>
      <c r="G16" s="26"/>
      <c r="H16" s="26">
        <f t="shared" si="4"/>
        <v>6502000</v>
      </c>
      <c r="I16" s="26">
        <f t="shared" si="2"/>
        <v>6502000</v>
      </c>
      <c r="J16" t="s">
        <v>272</v>
      </c>
      <c r="K16">
        <v>92</v>
      </c>
      <c r="L16">
        <v>273</v>
      </c>
    </row>
    <row r="17" spans="1:12" ht="12.75">
      <c r="A17" t="s">
        <v>274</v>
      </c>
      <c r="C17" s="26">
        <v>44000</v>
      </c>
      <c r="D17" s="26">
        <f t="shared" si="0"/>
        <v>4400</v>
      </c>
      <c r="E17" s="3">
        <f t="shared" si="3"/>
        <v>44484</v>
      </c>
      <c r="F17" s="26">
        <f t="shared" si="1"/>
        <v>66365</v>
      </c>
      <c r="G17" s="26"/>
      <c r="H17" s="26">
        <f t="shared" si="4"/>
        <v>6458000</v>
      </c>
      <c r="I17" s="26">
        <f t="shared" si="2"/>
        <v>6458000</v>
      </c>
      <c r="J17" t="s">
        <v>275</v>
      </c>
      <c r="K17">
        <v>92</v>
      </c>
      <c r="L17">
        <v>273</v>
      </c>
    </row>
    <row r="18" spans="1:12" ht="12.75">
      <c r="A18" t="s">
        <v>276</v>
      </c>
      <c r="C18" s="26">
        <v>18000</v>
      </c>
      <c r="D18" s="26">
        <f t="shared" si="0"/>
        <v>1800</v>
      </c>
      <c r="E18" s="3">
        <f t="shared" si="3"/>
        <v>18198</v>
      </c>
      <c r="F18" s="26">
        <f t="shared" si="1"/>
        <v>27149</v>
      </c>
      <c r="G18" s="26"/>
      <c r="H18" s="26">
        <f t="shared" si="4"/>
        <v>6440000</v>
      </c>
      <c r="I18" s="26">
        <f t="shared" si="2"/>
        <v>6440000</v>
      </c>
      <c r="J18" t="s">
        <v>275</v>
      </c>
      <c r="K18">
        <v>92</v>
      </c>
      <c r="L18">
        <v>273</v>
      </c>
    </row>
    <row r="19" spans="1:12" ht="12.75">
      <c r="A19" t="s">
        <v>274</v>
      </c>
      <c r="C19" s="26">
        <v>20000</v>
      </c>
      <c r="D19" s="26">
        <f t="shared" si="0"/>
        <v>2000</v>
      </c>
      <c r="E19" s="3">
        <f t="shared" si="3"/>
        <v>20220</v>
      </c>
      <c r="F19" s="26">
        <f t="shared" si="1"/>
        <v>30166</v>
      </c>
      <c r="G19" s="26"/>
      <c r="H19" s="26">
        <f t="shared" si="4"/>
        <v>6420000</v>
      </c>
      <c r="I19" s="26">
        <f t="shared" si="2"/>
        <v>6420000</v>
      </c>
      <c r="J19" t="s">
        <v>277</v>
      </c>
      <c r="K19">
        <v>92</v>
      </c>
      <c r="L19">
        <v>273</v>
      </c>
    </row>
    <row r="20" spans="1:12" ht="12.75">
      <c r="A20" t="s">
        <v>278</v>
      </c>
      <c r="C20" s="26">
        <v>64000</v>
      </c>
      <c r="D20" s="26">
        <f>C20*D3</f>
        <v>6400</v>
      </c>
      <c r="E20" s="3">
        <f t="shared" si="3"/>
        <v>64703</v>
      </c>
      <c r="F20" s="26">
        <f t="shared" si="1"/>
        <v>96530</v>
      </c>
      <c r="G20" s="26"/>
      <c r="H20" s="26">
        <f t="shared" si="4"/>
        <v>6356000</v>
      </c>
      <c r="I20" s="26">
        <f t="shared" si="2"/>
        <v>6356000</v>
      </c>
      <c r="J20" t="s">
        <v>279</v>
      </c>
      <c r="K20">
        <v>92</v>
      </c>
      <c r="L20">
        <v>273</v>
      </c>
    </row>
    <row r="21" spans="1:9" ht="12.75">
      <c r="A21" t="s">
        <v>293</v>
      </c>
      <c r="C21" s="10"/>
      <c r="D21" s="10"/>
      <c r="E21" s="10"/>
      <c r="F21" s="10"/>
      <c r="G21" s="26">
        <v>360000</v>
      </c>
      <c r="H21" s="26">
        <f>+H20-C21-G21</f>
        <v>5996000</v>
      </c>
      <c r="I21" s="26">
        <f>+I20-G21</f>
        <v>5996000</v>
      </c>
    </row>
    <row r="22" spans="3:9" ht="12.75">
      <c r="C22" s="3"/>
      <c r="D22" s="3"/>
      <c r="E22" s="3"/>
      <c r="F22" s="3"/>
      <c r="G22" s="26"/>
      <c r="H22" s="26"/>
      <c r="I22" s="26"/>
    </row>
    <row r="23" spans="3:9" ht="12.75">
      <c r="C23" s="26">
        <f>SUM(C5:C20)</f>
        <v>97550260</v>
      </c>
      <c r="D23" s="26">
        <f>SUM(D5:D20)</f>
        <v>9755026</v>
      </c>
      <c r="E23" s="136">
        <f>SUM(E5:E20)</f>
        <v>98512352</v>
      </c>
      <c r="F23" s="136">
        <f>SUM(F5:F20)</f>
        <v>142050945</v>
      </c>
      <c r="G23" s="121"/>
      <c r="H23" s="121"/>
      <c r="I23" s="121"/>
    </row>
    <row r="24" spans="3:9" ht="12.75">
      <c r="C24" s="3"/>
      <c r="D24" s="3"/>
      <c r="E24" s="3"/>
      <c r="F24" s="3"/>
      <c r="G24" s="26"/>
      <c r="H24" s="26"/>
      <c r="I24" s="26"/>
    </row>
    <row r="25" spans="1:12" ht="12.75">
      <c r="A25" t="s">
        <v>280</v>
      </c>
      <c r="C25" s="3">
        <v>133400</v>
      </c>
      <c r="D25" s="26">
        <f aca="true" t="shared" si="5" ref="D25:D36">C25*$D$3</f>
        <v>13340</v>
      </c>
      <c r="E25" s="3">
        <f aca="true" t="shared" si="6" ref="E25:E31">ROUND((C25/91)*K25,0)</f>
        <v>134866</v>
      </c>
      <c r="F25" s="26">
        <f aca="true" t="shared" si="7" ref="F25:F32">ROUND((C25/181)*L25,0)</f>
        <v>184254</v>
      </c>
      <c r="G25" s="26"/>
      <c r="H25" s="26">
        <f>+H21-E25</f>
        <v>5861134</v>
      </c>
      <c r="I25" s="26">
        <f>+I21-F25</f>
        <v>5811746</v>
      </c>
      <c r="J25" t="s">
        <v>281</v>
      </c>
      <c r="K25">
        <v>92</v>
      </c>
      <c r="L25">
        <v>250</v>
      </c>
    </row>
    <row r="26" spans="1:12" ht="12.75">
      <c r="A26" t="s">
        <v>282</v>
      </c>
      <c r="C26" s="3">
        <v>133400</v>
      </c>
      <c r="D26" s="26">
        <f t="shared" si="5"/>
        <v>13340</v>
      </c>
      <c r="E26" s="3">
        <f t="shared" si="6"/>
        <v>134866</v>
      </c>
      <c r="F26" s="26">
        <f t="shared" si="7"/>
        <v>184254</v>
      </c>
      <c r="G26" s="26"/>
      <c r="H26" s="26">
        <f>+H25-E26</f>
        <v>5726268</v>
      </c>
      <c r="I26" s="26">
        <f>+I25-F26</f>
        <v>5627492</v>
      </c>
      <c r="J26" t="s">
        <v>281</v>
      </c>
      <c r="K26">
        <v>92</v>
      </c>
      <c r="L26">
        <v>250</v>
      </c>
    </row>
    <row r="27" spans="1:12" ht="12.75">
      <c r="A27" t="s">
        <v>283</v>
      </c>
      <c r="C27" s="3">
        <v>32000</v>
      </c>
      <c r="D27" s="26">
        <f t="shared" si="5"/>
        <v>3200</v>
      </c>
      <c r="E27" s="3">
        <f t="shared" si="6"/>
        <v>32352</v>
      </c>
      <c r="F27" s="26">
        <f t="shared" si="7"/>
        <v>38895</v>
      </c>
      <c r="G27" s="26"/>
      <c r="H27" s="26">
        <f aca="true" t="shared" si="8" ref="H27:H32">+H26-E27</f>
        <v>5693916</v>
      </c>
      <c r="I27" s="26">
        <f aca="true" t="shared" si="9" ref="I27:I32">+I26-F27</f>
        <v>5588597</v>
      </c>
      <c r="J27" t="s">
        <v>284</v>
      </c>
      <c r="K27">
        <v>92</v>
      </c>
      <c r="L27">
        <v>220</v>
      </c>
    </row>
    <row r="28" spans="1:12" ht="12.75">
      <c r="A28" t="s">
        <v>283</v>
      </c>
      <c r="C28" s="3">
        <v>32000</v>
      </c>
      <c r="D28" s="26">
        <f t="shared" si="5"/>
        <v>3200</v>
      </c>
      <c r="E28" s="26">
        <f t="shared" si="6"/>
        <v>32352</v>
      </c>
      <c r="F28" s="26">
        <f t="shared" si="7"/>
        <v>31646</v>
      </c>
      <c r="G28" s="26"/>
      <c r="H28" s="26">
        <f t="shared" si="8"/>
        <v>5661564</v>
      </c>
      <c r="I28" s="26">
        <f t="shared" si="9"/>
        <v>5556951</v>
      </c>
      <c r="J28" t="s">
        <v>285</v>
      </c>
      <c r="K28">
        <v>92</v>
      </c>
      <c r="L28">
        <v>179</v>
      </c>
    </row>
    <row r="29" spans="1:12" ht="12.75">
      <c r="A29" t="s">
        <v>286</v>
      </c>
      <c r="C29" s="3">
        <v>56000</v>
      </c>
      <c r="D29" s="3">
        <f t="shared" si="5"/>
        <v>5600</v>
      </c>
      <c r="E29" s="26">
        <f t="shared" si="6"/>
        <v>56615</v>
      </c>
      <c r="F29" s="26">
        <f t="shared" si="7"/>
        <v>51359</v>
      </c>
      <c r="G29" s="26"/>
      <c r="H29" s="26">
        <f t="shared" si="8"/>
        <v>5604949</v>
      </c>
      <c r="I29" s="26">
        <f t="shared" si="9"/>
        <v>5505592</v>
      </c>
      <c r="J29" t="s">
        <v>287</v>
      </c>
      <c r="K29">
        <v>92</v>
      </c>
      <c r="L29">
        <v>166</v>
      </c>
    </row>
    <row r="30" spans="1:12" ht="12.75">
      <c r="A30" t="s">
        <v>276</v>
      </c>
      <c r="C30" s="3">
        <v>16000</v>
      </c>
      <c r="D30" s="3">
        <f t="shared" si="5"/>
        <v>1600</v>
      </c>
      <c r="E30" s="26">
        <f t="shared" si="6"/>
        <v>16176</v>
      </c>
      <c r="F30" s="26">
        <f t="shared" si="7"/>
        <v>14674</v>
      </c>
      <c r="G30" s="26"/>
      <c r="H30" s="26">
        <f t="shared" si="8"/>
        <v>5588773</v>
      </c>
      <c r="I30" s="26">
        <f t="shared" si="9"/>
        <v>5490918</v>
      </c>
      <c r="J30" t="s">
        <v>287</v>
      </c>
      <c r="K30">
        <v>92</v>
      </c>
      <c r="L30">
        <v>166</v>
      </c>
    </row>
    <row r="31" spans="1:12" ht="12.75">
      <c r="A31" t="s">
        <v>288</v>
      </c>
      <c r="C31" s="3">
        <v>84000</v>
      </c>
      <c r="D31" s="3">
        <f t="shared" si="5"/>
        <v>8400</v>
      </c>
      <c r="E31" s="26">
        <f t="shared" si="6"/>
        <v>84923</v>
      </c>
      <c r="F31" s="26">
        <f t="shared" si="7"/>
        <v>51514</v>
      </c>
      <c r="G31" s="26"/>
      <c r="H31" s="26">
        <f t="shared" si="8"/>
        <v>5503850</v>
      </c>
      <c r="I31" s="26">
        <f t="shared" si="9"/>
        <v>5439404</v>
      </c>
      <c r="J31" t="s">
        <v>289</v>
      </c>
      <c r="K31">
        <v>92</v>
      </c>
      <c r="L31">
        <v>111</v>
      </c>
    </row>
    <row r="32" spans="1:12" ht="12.75">
      <c r="A32" t="s">
        <v>290</v>
      </c>
      <c r="C32" s="3">
        <v>44000</v>
      </c>
      <c r="D32" s="3">
        <f t="shared" si="5"/>
        <v>4400</v>
      </c>
      <c r="E32" s="26">
        <f>ROUND((C32/91)*K32,0)</f>
        <v>44484</v>
      </c>
      <c r="F32" s="26">
        <f t="shared" si="7"/>
        <v>24796</v>
      </c>
      <c r="G32" s="26"/>
      <c r="H32" s="26">
        <f t="shared" si="8"/>
        <v>5459366</v>
      </c>
      <c r="I32" s="26">
        <f t="shared" si="9"/>
        <v>5414608</v>
      </c>
      <c r="J32" t="s">
        <v>291</v>
      </c>
      <c r="K32">
        <v>92</v>
      </c>
      <c r="L32">
        <v>102</v>
      </c>
    </row>
    <row r="33" spans="1:12" ht="12.75">
      <c r="A33" t="s">
        <v>283</v>
      </c>
      <c r="C33" s="3">
        <v>32000</v>
      </c>
      <c r="D33" s="3">
        <f t="shared" si="5"/>
        <v>3200</v>
      </c>
      <c r="E33" s="26">
        <f>ROUND((C33/91)*K33,0)</f>
        <v>29187</v>
      </c>
      <c r="F33" s="26">
        <f>ROUND((C33/181)*L33,0)</f>
        <v>16442</v>
      </c>
      <c r="G33" s="26"/>
      <c r="H33" s="26">
        <f aca="true" t="shared" si="10" ref="H33:I36">+H32-E33</f>
        <v>5430179</v>
      </c>
      <c r="I33" s="26">
        <f t="shared" si="10"/>
        <v>5398166</v>
      </c>
      <c r="J33" t="s">
        <v>299</v>
      </c>
      <c r="K33">
        <v>83</v>
      </c>
      <c r="L33">
        <v>93</v>
      </c>
    </row>
    <row r="34" spans="1:12" ht="12.75">
      <c r="A34" t="s">
        <v>278</v>
      </c>
      <c r="C34" s="3">
        <v>64000</v>
      </c>
      <c r="D34" s="3">
        <f t="shared" si="5"/>
        <v>6400</v>
      </c>
      <c r="E34" s="26">
        <f>ROUND((C34/91)*K34,0)</f>
        <v>47824</v>
      </c>
      <c r="F34" s="26">
        <f>ROUND((C34/181)*L34,0)</f>
        <v>24044</v>
      </c>
      <c r="G34" s="26"/>
      <c r="H34" s="26">
        <f t="shared" si="10"/>
        <v>5382355</v>
      </c>
      <c r="I34" s="26">
        <f t="shared" si="10"/>
        <v>5374122</v>
      </c>
      <c r="J34" t="s">
        <v>300</v>
      </c>
      <c r="K34">
        <v>68</v>
      </c>
      <c r="L34">
        <v>68</v>
      </c>
    </row>
    <row r="35" spans="1:12" ht="12.75">
      <c r="A35" t="s">
        <v>274</v>
      </c>
      <c r="C35" s="3">
        <v>64000</v>
      </c>
      <c r="D35" s="3">
        <f t="shared" si="5"/>
        <v>6400</v>
      </c>
      <c r="E35" s="26">
        <f>ROUND((C35/91)*K35,0)</f>
        <v>28835</v>
      </c>
      <c r="F35" s="26">
        <f>ROUND((C35/181)*L35,0)</f>
        <v>14497</v>
      </c>
      <c r="G35" s="26"/>
      <c r="H35" s="26">
        <f t="shared" si="10"/>
        <v>5353520</v>
      </c>
      <c r="I35" s="26">
        <f t="shared" si="10"/>
        <v>5359625</v>
      </c>
      <c r="J35" t="s">
        <v>302</v>
      </c>
      <c r="K35">
        <v>41</v>
      </c>
      <c r="L35">
        <v>41</v>
      </c>
    </row>
    <row r="36" spans="1:12" ht="12.75">
      <c r="A36" t="s">
        <v>298</v>
      </c>
      <c r="C36" s="3">
        <v>128000</v>
      </c>
      <c r="D36" s="3">
        <f t="shared" si="5"/>
        <v>12800</v>
      </c>
      <c r="E36" s="26">
        <f>ROUND((C36/91)*K36,0)</f>
        <v>37978</v>
      </c>
      <c r="F36" s="26">
        <f>ROUND((C36/181)*L36,0)</f>
        <v>19094</v>
      </c>
      <c r="G36" s="26"/>
      <c r="H36" s="26">
        <f t="shared" si="10"/>
        <v>5315542</v>
      </c>
      <c r="I36" s="26">
        <f t="shared" si="10"/>
        <v>5340531</v>
      </c>
      <c r="J36" t="s">
        <v>301</v>
      </c>
      <c r="K36">
        <v>27</v>
      </c>
      <c r="L36">
        <v>27</v>
      </c>
    </row>
    <row r="37" spans="3:9" ht="12.75">
      <c r="C37" s="3"/>
      <c r="D37" s="3"/>
      <c r="E37" s="26"/>
      <c r="F37" s="26"/>
      <c r="G37" s="26"/>
      <c r="H37" s="26"/>
      <c r="I37" s="26"/>
    </row>
    <row r="38" spans="3:9" ht="12.75">
      <c r="C38" s="3"/>
      <c r="D38" s="3"/>
      <c r="E38" s="3"/>
      <c r="F38" s="3"/>
      <c r="G38" s="26"/>
      <c r="H38" s="151">
        <f>-(+H36*E43)/E44</f>
        <v>-3494068.762503573</v>
      </c>
      <c r="I38" s="151">
        <f>-(+I36*F43)/F44</f>
        <v>-3573820.570264766</v>
      </c>
    </row>
    <row r="39" spans="3:9" ht="12.75">
      <c r="C39" s="10">
        <f>9723226-SUM(C14:C20)-SUM(C25:C32)</f>
        <v>8874426</v>
      </c>
      <c r="D39" s="10">
        <f>C39*D3</f>
        <v>887442.6000000001</v>
      </c>
      <c r="E39" s="10">
        <f>+H32+H38</f>
        <v>1965297.2374964268</v>
      </c>
      <c r="F39" s="10">
        <f>+I32+I38</f>
        <v>1840787.429735234</v>
      </c>
      <c r="G39" s="26"/>
      <c r="H39" s="26"/>
      <c r="I39" s="26"/>
    </row>
    <row r="40" spans="3:9" ht="12.75">
      <c r="C40" s="3"/>
      <c r="D40" s="3"/>
      <c r="E40" s="3"/>
      <c r="F40" s="3"/>
      <c r="G40" s="26"/>
      <c r="H40" s="26"/>
      <c r="I40" s="26"/>
    </row>
    <row r="41" spans="3:9" ht="13.5" thickBot="1">
      <c r="C41" s="63">
        <f>SUM(C23:C39)</f>
        <v>107243486</v>
      </c>
      <c r="D41" s="63">
        <f>SUM(D23:D39)</f>
        <v>10724348.6</v>
      </c>
      <c r="E41" s="137">
        <f>SUM(E23:E39)</f>
        <v>101158107.23749642</v>
      </c>
      <c r="F41" s="137">
        <f>SUM(F23:F39)</f>
        <v>144547201.42973524</v>
      </c>
      <c r="G41" s="121"/>
      <c r="H41" s="121"/>
      <c r="I41" s="121"/>
    </row>
    <row r="42" spans="3:9" ht="13.5" thickTop="1">
      <c r="C42" s="134" t="s">
        <v>258</v>
      </c>
      <c r="D42" s="134"/>
      <c r="E42" s="134"/>
      <c r="F42" s="134"/>
      <c r="G42" s="135"/>
      <c r="H42" s="135"/>
      <c r="I42" s="135"/>
    </row>
    <row r="43" spans="1:9" ht="12.75">
      <c r="A43" t="s">
        <v>297</v>
      </c>
      <c r="E43" s="152">
        <v>0.23</v>
      </c>
      <c r="F43" s="152">
        <v>0.23</v>
      </c>
      <c r="G43" s="135"/>
      <c r="H43" s="135"/>
      <c r="I43" s="135"/>
    </row>
    <row r="44" spans="1:9" ht="12.75">
      <c r="A44" t="s">
        <v>295</v>
      </c>
      <c r="E44" s="152">
        <v>0.3499</v>
      </c>
      <c r="F44" s="152">
        <v>0.3437</v>
      </c>
      <c r="G44" s="135"/>
      <c r="H44" s="135"/>
      <c r="I44" s="135"/>
    </row>
    <row r="45" spans="3:9" ht="12.75">
      <c r="C45" s="134"/>
      <c r="D45" s="134"/>
      <c r="E45" s="134"/>
      <c r="F45" s="134"/>
      <c r="G45" s="135"/>
      <c r="H45" s="135"/>
      <c r="I45" s="135"/>
    </row>
    <row r="46" spans="3:8" ht="12.75">
      <c r="C46" s="3"/>
      <c r="D46" s="3"/>
      <c r="E46" s="3"/>
      <c r="G46" s="39"/>
      <c r="H46" s="39"/>
    </row>
    <row r="47" spans="1:11" ht="12.75">
      <c r="A47" t="s">
        <v>259</v>
      </c>
      <c r="C47" s="3"/>
      <c r="D47" s="3"/>
      <c r="E47" s="3"/>
      <c r="G47" s="26"/>
      <c r="H47" s="26" t="e">
        <f>+#REF!</f>
        <v>#REF!</v>
      </c>
      <c r="I47" s="3" t="e">
        <f>+#REF!</f>
        <v>#REF!</v>
      </c>
      <c r="J47" s="138"/>
      <c r="K47" s="138"/>
    </row>
    <row r="48" spans="3:11" ht="12.75">
      <c r="C48" s="3"/>
      <c r="D48" s="3"/>
      <c r="E48" s="3"/>
      <c r="G48" s="39"/>
      <c r="H48" s="39"/>
      <c r="J48" s="139"/>
      <c r="K48" s="139"/>
    </row>
    <row r="49" spans="1:11" ht="12.75">
      <c r="A49" t="s">
        <v>260</v>
      </c>
      <c r="C49" s="3"/>
      <c r="D49" s="3"/>
      <c r="E49" s="3"/>
      <c r="G49" s="39"/>
      <c r="H49" s="39"/>
      <c r="J49" s="139"/>
      <c r="K49" s="139"/>
    </row>
    <row r="50" spans="1:11" ht="12.75">
      <c r="A50" t="s">
        <v>261</v>
      </c>
      <c r="C50" s="3"/>
      <c r="D50" s="3"/>
      <c r="E50" s="3"/>
      <c r="J50" s="139"/>
      <c r="K50" s="139"/>
    </row>
    <row r="51" spans="1:11" ht="12.75">
      <c r="A51" t="s">
        <v>262</v>
      </c>
      <c r="C51" s="3"/>
      <c r="D51" s="3"/>
      <c r="E51" s="3"/>
      <c r="G51" s="145"/>
      <c r="H51" s="146" t="s">
        <v>173</v>
      </c>
      <c r="I51" s="146" t="s">
        <v>173</v>
      </c>
      <c r="J51" s="140"/>
      <c r="K51" s="140"/>
    </row>
    <row r="52" spans="3:5" ht="12.75">
      <c r="C52" s="3"/>
      <c r="D52" s="3"/>
      <c r="E52" s="3"/>
    </row>
    <row r="53" spans="3:9" ht="13.5" thickBot="1">
      <c r="C53" s="3"/>
      <c r="D53" s="3"/>
      <c r="E53" s="3"/>
      <c r="G53" s="147"/>
      <c r="H53" s="141" t="e">
        <f>SUM(H47:H51)</f>
        <v>#REF!</v>
      </c>
      <c r="I53" s="141" t="e">
        <f>SUM(I47:I51)</f>
        <v>#REF!</v>
      </c>
    </row>
    <row r="54" spans="3:9" ht="13.5" thickTop="1">
      <c r="C54" s="3"/>
      <c r="D54" s="3"/>
      <c r="E54" s="3"/>
      <c r="G54" s="148"/>
      <c r="H54" s="142"/>
      <c r="I54" s="142"/>
    </row>
    <row r="55" spans="3:7" ht="12.75">
      <c r="C55" s="3"/>
      <c r="D55" s="3"/>
      <c r="E55" s="3"/>
      <c r="G55" s="116"/>
    </row>
    <row r="56" spans="1:9" ht="13.5" thickBot="1">
      <c r="A56" t="s">
        <v>263</v>
      </c>
      <c r="C56" s="3"/>
      <c r="D56" s="3"/>
      <c r="E56" s="3"/>
      <c r="G56" s="149"/>
      <c r="H56" s="143" t="e">
        <f>ROUND((H53/C41)*100,2)</f>
        <v>#REF!</v>
      </c>
      <c r="I56" s="143" t="e">
        <f>ROUND((I47/C41)*100,2)</f>
        <v>#REF!</v>
      </c>
    </row>
    <row r="57" spans="3:9" ht="13.5" thickTop="1">
      <c r="C57" s="3"/>
      <c r="D57" s="3"/>
      <c r="E57" s="3"/>
      <c r="G57" s="150"/>
      <c r="H57" s="144"/>
      <c r="I57" s="144"/>
    </row>
    <row r="58" spans="1:9" ht="13.5" thickBot="1">
      <c r="A58" t="s">
        <v>264</v>
      </c>
      <c r="C58" s="3"/>
      <c r="D58" s="3"/>
      <c r="E58" s="3"/>
      <c r="G58" s="149"/>
      <c r="H58" s="143" t="e">
        <f>ROUND((H53/E41)*100,2)</f>
        <v>#REF!</v>
      </c>
      <c r="I58" s="143" t="e">
        <f>ROUND((I53/F41)*100,2)</f>
        <v>#REF!</v>
      </c>
    </row>
    <row r="59" spans="3:9" ht="13.5" thickTop="1">
      <c r="C59" s="3"/>
      <c r="D59" s="3"/>
      <c r="E59" s="3"/>
      <c r="F59" s="144"/>
      <c r="G59" s="150"/>
      <c r="H59" s="144"/>
      <c r="I59" s="144"/>
    </row>
    <row r="60" spans="3:7" ht="12.75">
      <c r="C60" s="3"/>
      <c r="D60" s="3"/>
      <c r="E60" s="3"/>
      <c r="G60" s="116"/>
    </row>
    <row r="61" spans="1:11" ht="12.75">
      <c r="A61" s="142" t="s">
        <v>254</v>
      </c>
      <c r="B61" t="s">
        <v>265</v>
      </c>
      <c r="D61" s="3"/>
      <c r="E61" s="3"/>
      <c r="F61" s="3"/>
      <c r="G61" s="78"/>
      <c r="H61" s="3"/>
      <c r="I61" s="3"/>
      <c r="J61" s="14"/>
      <c r="K61" s="14"/>
    </row>
    <row r="62" spans="1:11" ht="12.75">
      <c r="A62" s="144" t="s">
        <v>255</v>
      </c>
      <c r="B62" t="s">
        <v>266</v>
      </c>
      <c r="D62" s="3"/>
      <c r="E62" s="3"/>
      <c r="F62" s="3"/>
      <c r="G62" s="3"/>
      <c r="H62" s="3"/>
      <c r="I62" s="3"/>
      <c r="J62" s="14"/>
      <c r="K62" s="14"/>
    </row>
    <row r="63" spans="3:5" ht="12.75">
      <c r="C63" s="3"/>
      <c r="D63" s="3"/>
      <c r="E63" s="3"/>
    </row>
  </sheetData>
  <sheetProtection/>
  <mergeCells count="3">
    <mergeCell ref="G2:I2"/>
    <mergeCell ref="E2:F2"/>
    <mergeCell ref="E3:F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H48"/>
  <sheetViews>
    <sheetView zoomScalePageLayoutView="0" workbookViewId="0" topLeftCell="A1">
      <selection activeCell="B11" sqref="B11"/>
    </sheetView>
  </sheetViews>
  <sheetFormatPr defaultColWidth="9.140625" defaultRowHeight="12.75"/>
  <cols>
    <col min="2" max="2" width="27.421875" style="0" customWidth="1"/>
    <col min="3" max="5" width="14.8515625" style="0" customWidth="1"/>
    <col min="6" max="6" width="15.57421875" style="0" customWidth="1"/>
    <col min="7" max="7" width="14.8515625" style="0" customWidth="1"/>
    <col min="8" max="8" width="7.8515625" style="0" customWidth="1"/>
  </cols>
  <sheetData>
    <row r="1" spans="1:8" ht="12.75">
      <c r="A1" s="2" t="s">
        <v>125</v>
      </c>
      <c r="B1" s="9"/>
      <c r="C1" s="12"/>
      <c r="D1" s="12"/>
      <c r="E1" s="12"/>
      <c r="F1" s="12"/>
      <c r="G1" s="12"/>
      <c r="H1" s="12"/>
    </row>
    <row r="2" spans="1:8" ht="12.75">
      <c r="A2" s="9" t="s">
        <v>48</v>
      </c>
      <c r="B2" s="9"/>
      <c r="C2" s="12"/>
      <c r="D2" s="12"/>
      <c r="E2" s="12"/>
      <c r="F2" s="12"/>
      <c r="G2" s="12"/>
      <c r="H2" s="12"/>
    </row>
    <row r="3" spans="1:8" ht="12.75">
      <c r="A3" s="22" t="s">
        <v>8</v>
      </c>
      <c r="B3" s="9"/>
      <c r="C3" s="12"/>
      <c r="D3" s="12"/>
      <c r="E3" s="12"/>
      <c r="F3" s="12"/>
      <c r="G3" s="12"/>
      <c r="H3" s="12"/>
    </row>
    <row r="4" spans="1:8" ht="12.75">
      <c r="A4" s="22" t="s">
        <v>327</v>
      </c>
      <c r="B4" s="9"/>
      <c r="C4" s="12"/>
      <c r="D4" s="12"/>
      <c r="E4" s="12"/>
      <c r="F4" s="12"/>
      <c r="G4" s="12"/>
      <c r="H4" s="12"/>
    </row>
    <row r="5" spans="1:8" ht="12.75">
      <c r="A5" s="23" t="s">
        <v>9</v>
      </c>
      <c r="B5" s="9"/>
      <c r="C5" s="12"/>
      <c r="D5" s="12"/>
      <c r="E5" s="12"/>
      <c r="F5" s="12"/>
      <c r="G5" s="12"/>
      <c r="H5" s="12"/>
    </row>
    <row r="6" spans="1:8" ht="12.75">
      <c r="A6" s="9"/>
      <c r="B6" s="9"/>
      <c r="C6" s="12"/>
      <c r="D6" s="12"/>
      <c r="E6" s="12"/>
      <c r="F6" s="12"/>
      <c r="G6" s="12"/>
      <c r="H6" s="12"/>
    </row>
    <row r="7" spans="1:8" ht="12.75">
      <c r="A7" s="2" t="s">
        <v>50</v>
      </c>
      <c r="B7" s="9"/>
      <c r="C7" s="12"/>
      <c r="D7" s="12"/>
      <c r="E7" s="12"/>
      <c r="F7" s="12"/>
      <c r="G7" s="12"/>
      <c r="H7" s="12"/>
    </row>
    <row r="8" spans="1:8" ht="12.75">
      <c r="A8" s="22" t="s">
        <v>327</v>
      </c>
      <c r="B8" s="9"/>
      <c r="C8" s="12"/>
      <c r="D8" s="12"/>
      <c r="E8" s="12"/>
      <c r="F8" s="12"/>
      <c r="G8" s="12"/>
      <c r="H8" s="12"/>
    </row>
    <row r="9" spans="1:8" ht="12.75">
      <c r="A9" s="2"/>
      <c r="B9" s="9"/>
      <c r="C9" s="12"/>
      <c r="D9" s="12"/>
      <c r="E9" s="12"/>
      <c r="F9" s="12"/>
      <c r="G9" s="12"/>
      <c r="H9" s="12"/>
    </row>
    <row r="10" spans="1:8" ht="12.75">
      <c r="A10" s="2"/>
      <c r="B10" s="9"/>
      <c r="C10" s="50" t="s">
        <v>51</v>
      </c>
      <c r="D10" s="50" t="s">
        <v>51</v>
      </c>
      <c r="E10" s="50" t="s">
        <v>338</v>
      </c>
      <c r="F10" s="50" t="s">
        <v>337</v>
      </c>
      <c r="G10" s="51" t="s">
        <v>53</v>
      </c>
      <c r="H10" s="12"/>
    </row>
    <row r="11" spans="1:8" ht="12.75">
      <c r="A11" s="2"/>
      <c r="B11" s="9"/>
      <c r="C11" s="52" t="s">
        <v>52</v>
      </c>
      <c r="D11" s="52" t="s">
        <v>192</v>
      </c>
      <c r="E11" s="52" t="s">
        <v>339</v>
      </c>
      <c r="F11" s="52" t="s">
        <v>219</v>
      </c>
      <c r="G11" s="52" t="s">
        <v>340</v>
      </c>
      <c r="H11" s="12"/>
    </row>
    <row r="12" spans="1:8" ht="12.75">
      <c r="A12" s="2"/>
      <c r="B12" s="9"/>
      <c r="C12" s="50" t="s">
        <v>3</v>
      </c>
      <c r="D12" s="50" t="s">
        <v>3</v>
      </c>
      <c r="E12" s="50" t="s">
        <v>3</v>
      </c>
      <c r="F12" s="50" t="s">
        <v>3</v>
      </c>
      <c r="G12" s="50" t="s">
        <v>3</v>
      </c>
      <c r="H12" s="12"/>
    </row>
    <row r="13" spans="1:8" ht="12.75">
      <c r="A13" s="2"/>
      <c r="B13" s="9"/>
      <c r="C13" s="24"/>
      <c r="D13" s="24"/>
      <c r="E13" s="24"/>
      <c r="F13" s="24"/>
      <c r="G13" s="24"/>
      <c r="H13" s="12"/>
    </row>
    <row r="14" spans="1:8" ht="12.75">
      <c r="A14" s="9" t="s">
        <v>325</v>
      </c>
      <c r="C14" s="3">
        <v>10111266</v>
      </c>
      <c r="D14" s="3">
        <v>6241587</v>
      </c>
      <c r="E14" s="3">
        <v>50432</v>
      </c>
      <c r="F14" s="3">
        <v>8799396</v>
      </c>
      <c r="G14" s="3">
        <v>25202681</v>
      </c>
      <c r="H14" s="12"/>
    </row>
    <row r="15" spans="7:8" ht="12.75">
      <c r="G15" s="14"/>
      <c r="H15" s="12"/>
    </row>
    <row r="16" spans="1:8" ht="12.75">
      <c r="A16" t="s">
        <v>310</v>
      </c>
      <c r="C16" s="3">
        <v>0</v>
      </c>
      <c r="D16" s="3">
        <v>0</v>
      </c>
      <c r="E16" s="3">
        <v>0</v>
      </c>
      <c r="F16" s="3">
        <v>0</v>
      </c>
      <c r="G16" s="3">
        <v>0</v>
      </c>
      <c r="H16" s="12"/>
    </row>
    <row r="17" spans="3:8" ht="12.75">
      <c r="C17" s="3"/>
      <c r="D17" s="3"/>
      <c r="E17" s="3"/>
      <c r="F17" s="3"/>
      <c r="G17" s="3"/>
      <c r="H17" s="12"/>
    </row>
    <row r="18" spans="1:8" ht="12.75">
      <c r="A18" t="s">
        <v>243</v>
      </c>
      <c r="C18" s="3">
        <v>0</v>
      </c>
      <c r="D18" s="3">
        <v>0</v>
      </c>
      <c r="E18" s="3">
        <v>0</v>
      </c>
      <c r="F18" s="1">
        <v>0</v>
      </c>
      <c r="G18" s="14">
        <v>0</v>
      </c>
      <c r="H18" s="12"/>
    </row>
    <row r="19" spans="7:8" ht="12.75">
      <c r="G19" s="14"/>
      <c r="H19" s="12"/>
    </row>
    <row r="20" spans="1:8" ht="12.75">
      <c r="A20" t="s">
        <v>311</v>
      </c>
      <c r="C20" s="3">
        <v>0</v>
      </c>
      <c r="D20" s="3">
        <v>0</v>
      </c>
      <c r="E20" s="3">
        <v>0</v>
      </c>
      <c r="F20" s="3">
        <v>0</v>
      </c>
      <c r="G20" s="3">
        <v>0</v>
      </c>
      <c r="H20" s="12"/>
    </row>
    <row r="21" spans="3:8" ht="12.75">
      <c r="C21" s="3"/>
      <c r="D21" s="3"/>
      <c r="E21" s="3"/>
      <c r="F21" s="3"/>
      <c r="G21" s="3"/>
      <c r="H21" s="12"/>
    </row>
    <row r="22" spans="1:8" ht="12.75">
      <c r="A22" s="9" t="s">
        <v>229</v>
      </c>
      <c r="C22" s="25">
        <v>0</v>
      </c>
      <c r="D22" s="25">
        <v>0</v>
      </c>
      <c r="E22" s="25">
        <v>0</v>
      </c>
      <c r="F22" s="111">
        <v>1212284.75</v>
      </c>
      <c r="G22" s="14">
        <v>1212284.75</v>
      </c>
      <c r="H22" s="12"/>
    </row>
    <row r="23" spans="1:8" ht="12.75">
      <c r="A23" s="9"/>
      <c r="G23" s="14"/>
      <c r="H23" s="12"/>
    </row>
    <row r="24" spans="1:8" ht="13.5" thickBot="1">
      <c r="A24" s="9" t="s">
        <v>329</v>
      </c>
      <c r="C24" s="112">
        <v>10111266</v>
      </c>
      <c r="D24" s="112">
        <v>6241587</v>
      </c>
      <c r="E24" s="112">
        <v>50432</v>
      </c>
      <c r="F24" s="112">
        <v>10011680.75</v>
      </c>
      <c r="G24" s="112">
        <v>26414965.75</v>
      </c>
      <c r="H24" s="12"/>
    </row>
    <row r="25" spans="1:8" ht="13.5" thickTop="1">
      <c r="A25" s="2"/>
      <c r="B25" s="9"/>
      <c r="C25" s="24"/>
      <c r="D25" s="24"/>
      <c r="E25" s="24"/>
      <c r="F25" s="117"/>
      <c r="G25" s="196"/>
      <c r="H25" s="12"/>
    </row>
    <row r="26" spans="1:8" ht="12.75">
      <c r="A26" s="2"/>
      <c r="B26" s="9"/>
      <c r="C26" s="117"/>
      <c r="D26" s="117"/>
      <c r="E26" s="117"/>
      <c r="F26" s="117"/>
      <c r="G26" s="117"/>
      <c r="H26" s="12"/>
    </row>
    <row r="27" spans="1:8" ht="12.75">
      <c r="A27" s="2"/>
      <c r="B27" s="9"/>
      <c r="C27" s="24"/>
      <c r="D27" s="24"/>
      <c r="E27" s="24"/>
      <c r="F27" s="24"/>
      <c r="G27" s="24"/>
      <c r="H27" s="12"/>
    </row>
    <row r="28" spans="1:8" ht="12.75">
      <c r="A28" s="2"/>
      <c r="B28" s="9"/>
      <c r="C28" s="12"/>
      <c r="D28" s="12"/>
      <c r="E28" s="12"/>
      <c r="F28" s="12"/>
      <c r="G28" s="12"/>
      <c r="H28" s="12"/>
    </row>
    <row r="29" spans="1:8" ht="12.75">
      <c r="A29" s="123"/>
      <c r="B29" s="70"/>
      <c r="C29" s="71" t="s">
        <v>51</v>
      </c>
      <c r="D29" s="71" t="s">
        <v>51</v>
      </c>
      <c r="E29" s="50" t="s">
        <v>338</v>
      </c>
      <c r="F29" s="50" t="s">
        <v>337</v>
      </c>
      <c r="G29" s="51" t="s">
        <v>53</v>
      </c>
      <c r="H29" s="12"/>
    </row>
    <row r="30" spans="1:8" ht="12.75">
      <c r="A30" s="123"/>
      <c r="B30" s="70"/>
      <c r="C30" s="193" t="s">
        <v>52</v>
      </c>
      <c r="D30" s="193" t="s">
        <v>192</v>
      </c>
      <c r="E30" s="52" t="s">
        <v>339</v>
      </c>
      <c r="F30" s="193" t="s">
        <v>219</v>
      </c>
      <c r="G30" s="52" t="s">
        <v>340</v>
      </c>
      <c r="H30" s="12"/>
    </row>
    <row r="31" spans="1:8" ht="12.75">
      <c r="A31" s="123"/>
      <c r="B31" s="70"/>
      <c r="C31" s="71" t="s">
        <v>3</v>
      </c>
      <c r="D31" s="71" t="s">
        <v>3</v>
      </c>
      <c r="E31" s="71" t="s">
        <v>3</v>
      </c>
      <c r="F31" s="71" t="s">
        <v>3</v>
      </c>
      <c r="G31" s="71" t="s">
        <v>3</v>
      </c>
      <c r="H31" s="12"/>
    </row>
    <row r="32" spans="1:8" ht="12.75">
      <c r="A32" s="123"/>
      <c r="B32" s="70"/>
      <c r="C32" s="71"/>
      <c r="D32" s="71"/>
      <c r="E32" s="71"/>
      <c r="F32" s="71"/>
      <c r="G32" s="71"/>
      <c r="H32" s="12"/>
    </row>
    <row r="33" spans="1:8" ht="12.75">
      <c r="A33" s="70" t="s">
        <v>312</v>
      </c>
      <c r="B33" s="70"/>
      <c r="C33" s="91">
        <v>9838806</v>
      </c>
      <c r="D33" s="91">
        <v>5732937</v>
      </c>
      <c r="E33" s="91">
        <v>44910</v>
      </c>
      <c r="F33" s="91">
        <v>12488256</v>
      </c>
      <c r="G33" s="91">
        <v>28104909</v>
      </c>
      <c r="H33" s="12"/>
    </row>
    <row r="34" spans="1:8" ht="12.75">
      <c r="A34" s="123"/>
      <c r="B34" s="70"/>
      <c r="C34" s="91"/>
      <c r="D34" s="91"/>
      <c r="E34" s="91"/>
      <c r="F34" s="91"/>
      <c r="G34" s="91"/>
      <c r="H34" s="12"/>
    </row>
    <row r="35" spans="1:8" ht="12.75">
      <c r="A35" s="70" t="s">
        <v>310</v>
      </c>
      <c r="B35" s="70"/>
      <c r="C35" s="91">
        <v>0</v>
      </c>
      <c r="D35" s="91">
        <v>0</v>
      </c>
      <c r="E35" s="91">
        <v>0</v>
      </c>
      <c r="F35" s="91">
        <v>0</v>
      </c>
      <c r="G35" s="91">
        <v>0</v>
      </c>
      <c r="H35" s="12"/>
    </row>
    <row r="36" spans="1:8" ht="12.75">
      <c r="A36" s="123"/>
      <c r="B36" s="70"/>
      <c r="C36" s="91"/>
      <c r="D36" s="91"/>
      <c r="E36" s="91"/>
      <c r="F36" s="91"/>
      <c r="G36" s="91"/>
      <c r="H36" s="12"/>
    </row>
    <row r="37" spans="1:8" ht="12.75">
      <c r="A37" s="116" t="s">
        <v>243</v>
      </c>
      <c r="B37" s="116"/>
      <c r="C37" s="121">
        <v>12300</v>
      </c>
      <c r="D37" s="121">
        <v>15990</v>
      </c>
      <c r="E37" s="121">
        <v>0</v>
      </c>
      <c r="F37" s="121">
        <v>0</v>
      </c>
      <c r="G37" s="121">
        <v>28290</v>
      </c>
      <c r="H37" s="12"/>
    </row>
    <row r="38" spans="1:8" ht="12.75">
      <c r="A38" s="116"/>
      <c r="B38" s="116"/>
      <c r="C38" s="121"/>
      <c r="D38" s="121"/>
      <c r="E38" s="121"/>
      <c r="F38" s="121"/>
      <c r="G38" s="121"/>
      <c r="H38" s="12"/>
    </row>
    <row r="39" spans="1:8" ht="12.75">
      <c r="A39" s="70" t="s">
        <v>311</v>
      </c>
      <c r="B39" s="116"/>
      <c r="C39" s="78">
        <v>0</v>
      </c>
      <c r="D39" s="78">
        <v>2460</v>
      </c>
      <c r="E39" s="78">
        <v>-2460</v>
      </c>
      <c r="F39" s="78">
        <v>0</v>
      </c>
      <c r="G39" s="78">
        <v>0</v>
      </c>
      <c r="H39" s="12"/>
    </row>
    <row r="40" spans="1:8" ht="12.75">
      <c r="A40" s="116"/>
      <c r="B40" s="116"/>
      <c r="C40" s="78"/>
      <c r="D40" s="78"/>
      <c r="E40" s="78"/>
      <c r="F40" s="78"/>
      <c r="G40" s="78"/>
      <c r="H40" s="12"/>
    </row>
    <row r="41" spans="1:8" ht="12.75">
      <c r="A41" s="116" t="s">
        <v>229</v>
      </c>
      <c r="B41" s="116"/>
      <c r="C41" s="78">
        <v>0</v>
      </c>
      <c r="D41" s="78">
        <v>0</v>
      </c>
      <c r="E41" s="78"/>
      <c r="F41" s="78">
        <v>1022384.4800000002</v>
      </c>
      <c r="G41" s="78">
        <v>1022384.4800000002</v>
      </c>
      <c r="H41" s="12"/>
    </row>
    <row r="42" spans="1:8" ht="12.75">
      <c r="A42" s="116"/>
      <c r="B42" s="116"/>
      <c r="C42" s="78"/>
      <c r="D42" s="78"/>
      <c r="E42" s="78"/>
      <c r="F42" s="78"/>
      <c r="G42" s="78"/>
      <c r="H42" s="12"/>
    </row>
    <row r="43" spans="1:8" ht="13.5" thickBot="1">
      <c r="A43" s="70" t="s">
        <v>330</v>
      </c>
      <c r="B43" s="116"/>
      <c r="C43" s="194">
        <v>9851106</v>
      </c>
      <c r="D43" s="194">
        <v>5751387</v>
      </c>
      <c r="E43" s="194">
        <v>42450</v>
      </c>
      <c r="F43" s="194">
        <v>13510640.48</v>
      </c>
      <c r="G43" s="120">
        <v>29155583.48</v>
      </c>
      <c r="H43" s="12"/>
    </row>
    <row r="44" spans="1:8" ht="13.5" thickTop="1">
      <c r="A44" s="70"/>
      <c r="B44" s="70"/>
      <c r="C44" s="195"/>
      <c r="D44" s="195"/>
      <c r="E44" s="195"/>
      <c r="F44" s="81"/>
      <c r="G44" s="81"/>
      <c r="H44" s="12"/>
    </row>
    <row r="45" spans="1:7" ht="12.75">
      <c r="A45" s="116"/>
      <c r="B45" s="116"/>
      <c r="C45" s="192"/>
      <c r="D45" s="192"/>
      <c r="E45" s="192"/>
      <c r="F45" s="192"/>
      <c r="G45" s="192"/>
    </row>
    <row r="47" spans="1:7" ht="36.75" customHeight="1">
      <c r="A47" s="203" t="s">
        <v>336</v>
      </c>
      <c r="B47" s="204"/>
      <c r="C47" s="204"/>
      <c r="D47" s="204"/>
      <c r="E47" s="204"/>
      <c r="F47" s="204"/>
      <c r="G47" s="204"/>
    </row>
    <row r="48" spans="1:7" ht="12.75">
      <c r="A48" s="203"/>
      <c r="B48" s="204"/>
      <c r="C48" s="204"/>
      <c r="D48" s="204"/>
      <c r="E48" s="204"/>
      <c r="F48" s="204"/>
      <c r="G48" s="204"/>
    </row>
  </sheetData>
  <sheetProtection/>
  <mergeCells count="2">
    <mergeCell ref="A47:G47"/>
    <mergeCell ref="A48:G48"/>
  </mergeCells>
  <printOptions/>
  <pageMargins left="0.51" right="0.25" top="0.55" bottom="0.73" header="0.25" footer="0.5"/>
  <pageSetup fitToHeight="1" fitToWidth="1" horizontalDpi="600" verticalDpi="600" orientation="portrait" paperSize="9" scale="81" r:id="rId1"/>
  <headerFooter alignWithMargins="0">
    <oddFooter>&amp;C&amp;D&amp;T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4">
      <selection activeCell="B30" sqref="B30"/>
    </sheetView>
  </sheetViews>
  <sheetFormatPr defaultColWidth="9.140625" defaultRowHeight="12.75"/>
  <cols>
    <col min="1" max="1" width="3.7109375" style="9" customWidth="1"/>
    <col min="2" max="2" width="46.7109375" style="9" customWidth="1"/>
    <col min="3" max="3" width="9.140625" style="9" customWidth="1"/>
    <col min="4" max="4" width="14.28125" style="70" bestFit="1" customWidth="1"/>
    <col min="5" max="5" width="16.00390625" style="70" customWidth="1"/>
    <col min="6" max="6" width="14.00390625" style="12" bestFit="1" customWidth="1"/>
    <col min="7" max="7" width="28.421875" style="9" customWidth="1"/>
    <col min="8" max="8" width="12.8515625" style="9" customWidth="1"/>
    <col min="9" max="9" width="10.28125" style="9" customWidth="1"/>
    <col min="10" max="10" width="12.8515625" style="9" customWidth="1"/>
    <col min="11" max="11" width="14.00390625" style="9" customWidth="1"/>
    <col min="12" max="12" width="24.421875" style="9" bestFit="1" customWidth="1"/>
    <col min="13" max="16384" width="9.140625" style="9" customWidth="1"/>
  </cols>
  <sheetData>
    <row r="1" ht="15.75">
      <c r="A1" s="20" t="s">
        <v>55</v>
      </c>
    </row>
    <row r="2" ht="12.75">
      <c r="A2" s="9" t="s">
        <v>48</v>
      </c>
    </row>
    <row r="3" ht="12.75">
      <c r="A3" s="22" t="s">
        <v>8</v>
      </c>
    </row>
    <row r="4" ht="12.75">
      <c r="A4" s="22" t="s">
        <v>327</v>
      </c>
    </row>
    <row r="5" ht="12.75">
      <c r="A5" s="23" t="s">
        <v>9</v>
      </c>
    </row>
    <row r="7" ht="12.75">
      <c r="A7" s="2" t="s">
        <v>322</v>
      </c>
    </row>
    <row r="8" spans="1:6" ht="12.75">
      <c r="A8" s="22" t="s">
        <v>327</v>
      </c>
      <c r="D8" s="9"/>
      <c r="F8" s="9"/>
    </row>
    <row r="9" spans="1:6" ht="12.75">
      <c r="A9" s="22"/>
      <c r="D9" s="9"/>
      <c r="F9" s="9"/>
    </row>
    <row r="10" spans="1:6" ht="12.75">
      <c r="A10" s="22"/>
      <c r="D10" s="205" t="s">
        <v>236</v>
      </c>
      <c r="E10" s="205"/>
      <c r="F10" s="9"/>
    </row>
    <row r="11" spans="1:5" ht="12.75">
      <c r="A11" s="2"/>
      <c r="D11" s="90" t="s">
        <v>237</v>
      </c>
      <c r="E11" s="90" t="s">
        <v>239</v>
      </c>
    </row>
    <row r="12" spans="1:5" ht="12.75">
      <c r="A12" s="2"/>
      <c r="D12" s="90" t="s">
        <v>238</v>
      </c>
      <c r="E12" s="90" t="s">
        <v>238</v>
      </c>
    </row>
    <row r="13" spans="1:5" ht="12.75">
      <c r="A13" s="31"/>
      <c r="D13" s="90" t="s">
        <v>326</v>
      </c>
      <c r="E13" s="90" t="s">
        <v>324</v>
      </c>
    </row>
    <row r="14" spans="1:5" ht="12.75">
      <c r="A14" s="2" t="s">
        <v>34</v>
      </c>
      <c r="D14" s="119" t="s">
        <v>3</v>
      </c>
      <c r="E14" s="119" t="s">
        <v>3</v>
      </c>
    </row>
    <row r="15" spans="4:5" ht="12.75">
      <c r="D15" s="72"/>
      <c r="E15" s="116"/>
    </row>
    <row r="16" spans="1:12" ht="12.75">
      <c r="A16" s="2" t="s">
        <v>81</v>
      </c>
      <c r="D16" s="75">
        <v>-10344356.02</v>
      </c>
      <c r="E16" s="78">
        <v>4206789.62</v>
      </c>
      <c r="L16" s="26"/>
    </row>
    <row r="17" spans="4:12" ht="12.75">
      <c r="D17" s="72"/>
      <c r="E17" s="78"/>
      <c r="L17" s="26"/>
    </row>
    <row r="18" spans="1:12" ht="12.75">
      <c r="A18" s="2" t="s">
        <v>320</v>
      </c>
      <c r="D18" s="72">
        <v>9215012.659999998</v>
      </c>
      <c r="E18" s="78">
        <v>-5188506.949999999</v>
      </c>
      <c r="L18" s="26"/>
    </row>
    <row r="19" spans="4:12" ht="12.75">
      <c r="D19" s="72"/>
      <c r="E19" s="78"/>
      <c r="L19" s="26"/>
    </row>
    <row r="20" spans="1:12" ht="12.75">
      <c r="A20" s="2" t="s">
        <v>321</v>
      </c>
      <c r="D20" s="72">
        <v>0</v>
      </c>
      <c r="E20" s="78">
        <v>28290</v>
      </c>
      <c r="L20" s="26"/>
    </row>
    <row r="21" spans="4:12" ht="12.75">
      <c r="D21" s="73"/>
      <c r="E21" s="154"/>
      <c r="L21" s="26"/>
    </row>
    <row r="22" spans="1:12" ht="12.75">
      <c r="A22" s="2" t="s">
        <v>85</v>
      </c>
      <c r="D22" s="72">
        <v>-1129343.36</v>
      </c>
      <c r="E22" s="78">
        <v>-953427.3299999991</v>
      </c>
      <c r="L22" s="26"/>
    </row>
    <row r="23" spans="4:12" ht="12.75">
      <c r="D23" s="72"/>
      <c r="E23" s="78"/>
      <c r="L23" s="26"/>
    </row>
    <row r="24" spans="1:12" ht="12.75">
      <c r="A24" s="2" t="s">
        <v>169</v>
      </c>
      <c r="D24" s="72">
        <v>2711567.29</v>
      </c>
      <c r="E24" s="78">
        <v>1432438.35</v>
      </c>
      <c r="L24" s="26"/>
    </row>
    <row r="25" spans="1:12" ht="12.75">
      <c r="A25" s="2"/>
      <c r="D25" s="72"/>
      <c r="E25" s="78"/>
      <c r="L25" s="26"/>
    </row>
    <row r="26" spans="1:12" ht="13.5" thickBot="1">
      <c r="A26" s="2" t="s">
        <v>230</v>
      </c>
      <c r="D26" s="93">
        <v>1582223.93</v>
      </c>
      <c r="E26" s="120">
        <v>479011.02000000095</v>
      </c>
      <c r="L26" s="26"/>
    </row>
    <row r="27" ht="13.5" thickTop="1">
      <c r="L27" s="16"/>
    </row>
    <row r="28" ht="12.75">
      <c r="L28" s="16"/>
    </row>
    <row r="29" spans="1:4" ht="12.75">
      <c r="A29" s="68"/>
      <c r="B29" s="69"/>
      <c r="C29" s="70"/>
      <c r="D29" s="72"/>
    </row>
    <row r="30" spans="1:3" ht="12.75">
      <c r="A30" s="68"/>
      <c r="B30" s="69"/>
      <c r="C30" s="70"/>
    </row>
    <row r="31" spans="1:3" ht="12.75">
      <c r="A31" s="68" t="s">
        <v>93</v>
      </c>
      <c r="B31" s="69" t="s">
        <v>182</v>
      </c>
      <c r="C31" s="70"/>
    </row>
    <row r="32" spans="1:11" ht="12.75">
      <c r="A32" s="68"/>
      <c r="B32" s="69"/>
      <c r="C32" s="70"/>
      <c r="D32" s="71" t="s">
        <v>240</v>
      </c>
      <c r="E32" s="71" t="s">
        <v>240</v>
      </c>
      <c r="H32" s="113"/>
      <c r="I32" s="113"/>
      <c r="J32" s="113"/>
      <c r="K32" s="113"/>
    </row>
    <row r="33" spans="1:11" ht="12.75">
      <c r="A33" s="68"/>
      <c r="B33" s="69"/>
      <c r="C33" s="70"/>
      <c r="D33" s="90" t="s">
        <v>326</v>
      </c>
      <c r="E33" s="90" t="s">
        <v>324</v>
      </c>
      <c r="H33" s="110"/>
      <c r="I33" s="110"/>
      <c r="J33" s="110"/>
      <c r="K33" s="110"/>
    </row>
    <row r="34" spans="1:11" ht="12.75">
      <c r="A34" s="68"/>
      <c r="B34" s="69"/>
      <c r="C34" s="70"/>
      <c r="D34" s="71" t="s">
        <v>3</v>
      </c>
      <c r="E34" s="71" t="s">
        <v>3</v>
      </c>
      <c r="H34" s="110"/>
      <c r="I34" s="110"/>
      <c r="J34" s="110"/>
      <c r="K34" s="110"/>
    </row>
    <row r="35" spans="1:11" ht="12.75">
      <c r="A35" s="68"/>
      <c r="B35" s="69" t="s">
        <v>71</v>
      </c>
      <c r="C35" s="70"/>
      <c r="D35" s="75">
        <v>1115517.41</v>
      </c>
      <c r="E35" s="75">
        <v>459011.06999999995</v>
      </c>
      <c r="H35" s="110"/>
      <c r="I35" s="110"/>
      <c r="J35" s="110"/>
      <c r="K35" s="110"/>
    </row>
    <row r="36" spans="1:11" ht="12.75">
      <c r="A36" s="68"/>
      <c r="B36" s="9" t="s">
        <v>245</v>
      </c>
      <c r="C36" s="70"/>
      <c r="D36" s="72">
        <v>466706.6</v>
      </c>
      <c r="E36" s="78">
        <v>20000</v>
      </c>
      <c r="F36" s="9"/>
      <c r="H36" s="110"/>
      <c r="I36" s="110"/>
      <c r="J36" s="110"/>
      <c r="K36" s="110"/>
    </row>
    <row r="37" spans="1:12" ht="13.5" thickBot="1">
      <c r="A37" s="68"/>
      <c r="B37" s="69"/>
      <c r="C37" s="70"/>
      <c r="D37" s="118">
        <v>1582224.01</v>
      </c>
      <c r="E37" s="120">
        <v>479011.06999999995</v>
      </c>
      <c r="F37" s="48"/>
      <c r="H37" s="110"/>
      <c r="I37" s="110"/>
      <c r="J37" s="110"/>
      <c r="K37" s="110"/>
      <c r="L37" s="48"/>
    </row>
    <row r="38" spans="1:11" ht="13.5" thickTop="1">
      <c r="A38" s="68"/>
      <c r="B38" s="69"/>
      <c r="C38" s="70"/>
      <c r="D38" s="129"/>
      <c r="E38" s="121"/>
      <c r="F38" s="9"/>
      <c r="H38" s="110"/>
      <c r="I38" s="110"/>
      <c r="J38" s="110"/>
      <c r="K38" s="110"/>
    </row>
    <row r="39" spans="1:11" ht="12.75">
      <c r="A39" s="68"/>
      <c r="B39" s="69"/>
      <c r="C39" s="70"/>
      <c r="D39" s="129"/>
      <c r="E39" s="121"/>
      <c r="F39" s="9"/>
      <c r="H39" s="110"/>
      <c r="I39" s="110"/>
      <c r="J39" s="110"/>
      <c r="K39" s="110"/>
    </row>
    <row r="40" spans="1:11" ht="12.75">
      <c r="A40" s="68" t="s">
        <v>181</v>
      </c>
      <c r="B40" s="69" t="s">
        <v>341</v>
      </c>
      <c r="C40" s="70"/>
      <c r="D40" s="129"/>
      <c r="E40" s="121"/>
      <c r="F40" s="9"/>
      <c r="H40" s="110"/>
      <c r="I40" s="110"/>
      <c r="J40" s="110"/>
      <c r="K40" s="110"/>
    </row>
    <row r="41" spans="1:11" ht="12.75">
      <c r="A41" s="68"/>
      <c r="B41" s="69"/>
      <c r="C41" s="70"/>
      <c r="D41" s="71" t="s">
        <v>240</v>
      </c>
      <c r="E41" s="71" t="s">
        <v>240</v>
      </c>
      <c r="F41" s="9"/>
      <c r="H41" s="110"/>
      <c r="I41" s="110"/>
      <c r="J41" s="110"/>
      <c r="K41" s="110"/>
    </row>
    <row r="42" spans="1:11" ht="12.75">
      <c r="A42" s="68"/>
      <c r="B42" s="69"/>
      <c r="C42" s="70"/>
      <c r="D42" s="90" t="s">
        <v>326</v>
      </c>
      <c r="E42" s="90" t="s">
        <v>324</v>
      </c>
      <c r="F42" s="9"/>
      <c r="H42" s="110"/>
      <c r="I42" s="110"/>
      <c r="J42" s="110"/>
      <c r="K42" s="110"/>
    </row>
    <row r="43" spans="1:11" ht="12.75">
      <c r="A43" s="68"/>
      <c r="B43" s="69"/>
      <c r="C43" s="70"/>
      <c r="D43" s="71" t="s">
        <v>3</v>
      </c>
      <c r="E43" s="71" t="s">
        <v>3</v>
      </c>
      <c r="F43" s="9"/>
      <c r="H43" s="110"/>
      <c r="I43" s="110"/>
      <c r="J43" s="110"/>
      <c r="K43" s="110"/>
    </row>
    <row r="44" spans="1:12" ht="12.75">
      <c r="A44" s="68"/>
      <c r="B44" s="69" t="s">
        <v>305</v>
      </c>
      <c r="C44" s="70"/>
      <c r="D44" s="91">
        <v>16757704.210000003</v>
      </c>
      <c r="E44" s="91">
        <v>25945503.55</v>
      </c>
      <c r="H44" s="110"/>
      <c r="I44" s="110"/>
      <c r="J44" s="110"/>
      <c r="K44" s="110"/>
      <c r="L44" s="49"/>
    </row>
    <row r="45" spans="1:11" ht="12.75">
      <c r="A45" s="68"/>
      <c r="B45" s="69" t="s">
        <v>306</v>
      </c>
      <c r="C45" s="70"/>
      <c r="D45" s="91">
        <v>3324297.6</v>
      </c>
      <c r="E45" s="91">
        <v>3120000</v>
      </c>
      <c r="F45" s="48"/>
      <c r="H45" s="110"/>
      <c r="I45" s="110"/>
      <c r="J45" s="110"/>
      <c r="K45" s="110"/>
    </row>
    <row r="46" spans="4:11" ht="13.5" thickBot="1">
      <c r="D46" s="93">
        <v>20082001.810000002</v>
      </c>
      <c r="E46" s="120">
        <v>29065503.55</v>
      </c>
      <c r="H46" s="110"/>
      <c r="I46" s="110"/>
      <c r="J46" s="128"/>
      <c r="K46" s="128"/>
    </row>
    <row r="47" spans="4:11" ht="13.5" thickTop="1">
      <c r="D47" s="127"/>
      <c r="E47" s="192"/>
      <c r="H47" s="110"/>
      <c r="I47" s="110"/>
      <c r="J47" s="128"/>
      <c r="K47" s="128"/>
    </row>
    <row r="48" ht="12.75">
      <c r="E48" s="127"/>
    </row>
    <row r="49" spans="1:5" ht="42" customHeight="1">
      <c r="A49" s="203" t="s">
        <v>331</v>
      </c>
      <c r="B49" s="204"/>
      <c r="C49" s="204"/>
      <c r="D49" s="204"/>
      <c r="E49" s="204"/>
    </row>
    <row r="51" spans="4:5" ht="12.75">
      <c r="D51" s="127"/>
      <c r="E51" s="127"/>
    </row>
    <row r="52" ht="12.75">
      <c r="D52" s="127"/>
    </row>
    <row r="53" ht="12.75">
      <c r="D53" s="124"/>
    </row>
  </sheetData>
  <sheetProtection/>
  <mergeCells count="2">
    <mergeCell ref="D10:E10"/>
    <mergeCell ref="A49:E49"/>
  </mergeCells>
  <printOptions/>
  <pageMargins left="0.46" right="0.5" top="0.56" bottom="0.75" header="0.26" footer="0.5"/>
  <pageSetup fitToHeight="1" fitToWidth="1" horizontalDpi="600" verticalDpi="600" orientation="portrait" paperSize="9" r:id="rId1"/>
  <headerFooter alignWithMargins="0">
    <oddFooter>&amp;C&amp;D&amp;T</oddFooter>
  </headerFooter>
</worksheet>
</file>

<file path=xl/worksheets/sheet7.xml><?xml version="1.0" encoding="utf-8"?>
<worksheet xmlns="http://schemas.openxmlformats.org/spreadsheetml/2006/main" xmlns:r="http://schemas.openxmlformats.org/officeDocument/2006/relationships">
  <dimension ref="A1:P180"/>
  <sheetViews>
    <sheetView zoomScale="75" zoomScaleNormal="75" zoomScalePageLayoutView="0" workbookViewId="0" topLeftCell="A1">
      <selection activeCell="Q15" sqref="Q15"/>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75">
      <c r="F1" s="33" t="s">
        <v>88</v>
      </c>
      <c r="G1" s="34"/>
    </row>
    <row r="2" ht="12.75">
      <c r="G2" t="s">
        <v>201</v>
      </c>
    </row>
    <row r="3" ht="9" customHeight="1"/>
    <row r="4" spans="1:11" ht="15">
      <c r="A4" s="29" t="s">
        <v>89</v>
      </c>
      <c r="B4" s="35"/>
      <c r="C4" s="35"/>
      <c r="D4" s="35"/>
      <c r="E4" s="35"/>
      <c r="F4" s="35"/>
      <c r="G4" s="35"/>
      <c r="H4" s="35"/>
      <c r="I4" s="35"/>
      <c r="J4" s="35"/>
      <c r="K4" s="35"/>
    </row>
    <row r="5" spans="1:11" ht="16.5" customHeight="1">
      <c r="A5" s="35"/>
      <c r="B5" s="35"/>
      <c r="C5" s="35"/>
      <c r="D5" s="35"/>
      <c r="E5" s="35"/>
      <c r="F5" s="35"/>
      <c r="G5" s="35"/>
      <c r="H5" s="35"/>
      <c r="I5" s="35"/>
      <c r="J5" s="35"/>
      <c r="K5" s="35"/>
    </row>
    <row r="6" spans="1:11" ht="16.5" customHeight="1">
      <c r="A6" s="29" t="s">
        <v>90</v>
      </c>
      <c r="B6" s="29" t="s">
        <v>200</v>
      </c>
      <c r="C6" s="35"/>
      <c r="D6" s="35"/>
      <c r="E6" s="35"/>
      <c r="F6" s="35"/>
      <c r="G6" s="35"/>
      <c r="H6" s="35"/>
      <c r="I6" s="35"/>
      <c r="J6" s="35"/>
      <c r="K6" s="35"/>
    </row>
    <row r="7" spans="1:11" ht="16.5" customHeight="1">
      <c r="A7" s="35"/>
      <c r="B7" s="29" t="s">
        <v>203</v>
      </c>
      <c r="C7" s="35"/>
      <c r="D7" s="35"/>
      <c r="E7" s="35"/>
      <c r="F7" s="35"/>
      <c r="G7" s="35"/>
      <c r="H7" s="35"/>
      <c r="I7" s="35"/>
      <c r="J7" s="35"/>
      <c r="K7" s="35"/>
    </row>
    <row r="8" spans="1:11" ht="16.5" customHeight="1">
      <c r="A8" s="35"/>
      <c r="B8" s="29"/>
      <c r="C8" s="35"/>
      <c r="D8" s="35"/>
      <c r="E8" s="35"/>
      <c r="F8" s="35"/>
      <c r="G8" s="35"/>
      <c r="H8" s="35"/>
      <c r="I8" s="35"/>
      <c r="J8" s="35"/>
      <c r="K8" s="35"/>
    </row>
    <row r="9" spans="1:11" ht="16.5" customHeight="1">
      <c r="A9" s="29" t="s">
        <v>91</v>
      </c>
      <c r="B9" s="29" t="s">
        <v>92</v>
      </c>
      <c r="C9" s="35"/>
      <c r="D9" s="35"/>
      <c r="E9" s="35"/>
      <c r="F9" s="35"/>
      <c r="G9" s="35"/>
      <c r="H9" s="35"/>
      <c r="I9" s="35"/>
      <c r="J9" s="35"/>
      <c r="K9" s="35"/>
    </row>
    <row r="10" spans="1:11" ht="16.5" customHeight="1">
      <c r="A10" s="35"/>
      <c r="B10" s="35"/>
      <c r="C10" s="35"/>
      <c r="D10" s="35"/>
      <c r="E10" s="35"/>
      <c r="F10" s="35"/>
      <c r="G10" s="35"/>
      <c r="H10" s="35"/>
      <c r="I10" s="35"/>
      <c r="J10" s="35"/>
      <c r="K10" s="35"/>
    </row>
    <row r="11" spans="1:11" ht="11.25" customHeight="1">
      <c r="A11" s="35"/>
      <c r="B11" s="35"/>
      <c r="C11" s="35"/>
      <c r="D11" s="35"/>
      <c r="E11" s="35"/>
      <c r="F11" s="35"/>
      <c r="G11" s="35"/>
      <c r="H11" s="35"/>
      <c r="I11" s="35"/>
      <c r="J11" s="35"/>
      <c r="K11" s="35"/>
    </row>
    <row r="12" spans="1:11" ht="11.25" customHeight="1">
      <c r="A12" s="35"/>
      <c r="B12" s="35"/>
      <c r="C12" s="35"/>
      <c r="D12" s="35"/>
      <c r="E12" s="35"/>
      <c r="F12" s="35"/>
      <c r="G12" s="35"/>
      <c r="H12" s="35"/>
      <c r="I12" s="35"/>
      <c r="J12" s="35"/>
      <c r="K12" s="35"/>
    </row>
    <row r="13" spans="1:11" ht="11.25" customHeight="1">
      <c r="A13" s="35"/>
      <c r="B13" s="35"/>
      <c r="C13" s="35"/>
      <c r="D13" s="35"/>
      <c r="E13" s="35"/>
      <c r="F13" s="35"/>
      <c r="G13" s="35"/>
      <c r="H13" s="35"/>
      <c r="I13" s="35"/>
      <c r="J13" s="35"/>
      <c r="K13" s="35"/>
    </row>
    <row r="14" spans="1:11" ht="11.25" customHeight="1">
      <c r="A14" s="35"/>
      <c r="B14" s="35"/>
      <c r="C14" s="35"/>
      <c r="D14" s="35"/>
      <c r="E14" s="35"/>
      <c r="F14" s="35"/>
      <c r="G14" s="35"/>
      <c r="H14" s="35"/>
      <c r="I14" s="35"/>
      <c r="J14" s="35"/>
      <c r="K14" s="35"/>
    </row>
    <row r="15" spans="1:11" ht="11.25" customHeight="1">
      <c r="A15" s="35"/>
      <c r="B15" s="35"/>
      <c r="C15" s="35"/>
      <c r="D15" s="35"/>
      <c r="E15" s="35"/>
      <c r="F15" s="35"/>
      <c r="G15" s="35"/>
      <c r="H15" s="35"/>
      <c r="I15" s="35"/>
      <c r="J15" s="35"/>
      <c r="K15" s="35"/>
    </row>
    <row r="16" spans="1:11" ht="11.25" customHeight="1">
      <c r="A16" s="35"/>
      <c r="B16" s="35"/>
      <c r="C16" s="35"/>
      <c r="D16" s="35"/>
      <c r="E16" s="35"/>
      <c r="F16" s="35"/>
      <c r="G16" s="35"/>
      <c r="H16" s="35"/>
      <c r="I16" s="35"/>
      <c r="J16" s="35"/>
      <c r="K16" s="35"/>
    </row>
    <row r="17" spans="1:11" ht="12.75" customHeight="1">
      <c r="A17" s="35"/>
      <c r="B17" s="35"/>
      <c r="C17" s="35"/>
      <c r="D17" s="35"/>
      <c r="E17" s="35"/>
      <c r="F17" s="35"/>
      <c r="G17" s="35"/>
      <c r="H17" s="35"/>
      <c r="I17" s="35"/>
      <c r="J17" s="35"/>
      <c r="K17" s="35"/>
    </row>
    <row r="18" spans="1:11" ht="12.75" customHeight="1">
      <c r="A18" s="35"/>
      <c r="B18" s="35"/>
      <c r="C18" s="35"/>
      <c r="D18" s="35"/>
      <c r="E18" s="35"/>
      <c r="F18" s="35"/>
      <c r="G18" s="35"/>
      <c r="H18" s="35"/>
      <c r="I18" s="35"/>
      <c r="J18" s="35"/>
      <c r="K18" s="35"/>
    </row>
    <row r="19" ht="16.5" customHeight="1"/>
    <row r="20" spans="1:4" ht="16.5" customHeight="1">
      <c r="A20" s="29" t="s">
        <v>94</v>
      </c>
      <c r="B20" s="29" t="s">
        <v>95</v>
      </c>
      <c r="C20" s="35"/>
      <c r="D20" s="35"/>
    </row>
    <row r="21" ht="16.5" customHeight="1"/>
    <row r="22" ht="16.5" customHeight="1"/>
    <row r="23" ht="16.5" customHeight="1"/>
    <row r="24" spans="1:6" ht="16.5" customHeight="1">
      <c r="A24" s="29" t="s">
        <v>96</v>
      </c>
      <c r="B24" s="29" t="s">
        <v>97</v>
      </c>
      <c r="C24" s="29"/>
      <c r="D24" s="29"/>
      <c r="E24" s="29"/>
      <c r="F24" s="35"/>
    </row>
    <row r="25" spans="1:6" ht="16.5" customHeight="1">
      <c r="A25" s="35"/>
      <c r="B25" s="35"/>
      <c r="C25" s="35"/>
      <c r="D25" s="35"/>
      <c r="E25" s="35"/>
      <c r="F25" s="35"/>
    </row>
    <row r="26" spans="1:6" ht="16.5" customHeight="1">
      <c r="A26" s="35"/>
      <c r="B26" s="35"/>
      <c r="C26" s="35"/>
      <c r="D26" s="35"/>
      <c r="E26" s="35"/>
      <c r="F26" s="35"/>
    </row>
    <row r="27" spans="1:6" ht="16.5" customHeight="1">
      <c r="A27" s="35"/>
      <c r="B27" s="35"/>
      <c r="C27" s="35"/>
      <c r="D27" s="35"/>
      <c r="E27" s="35"/>
      <c r="F27" s="35"/>
    </row>
    <row r="28" spans="1:7" ht="16.5" customHeight="1">
      <c r="A28" s="29" t="s">
        <v>98</v>
      </c>
      <c r="B28" s="29" t="s">
        <v>99</v>
      </c>
      <c r="C28" s="35"/>
      <c r="D28" s="35"/>
      <c r="E28" s="35"/>
      <c r="F28" s="35"/>
      <c r="G28" s="35"/>
    </row>
    <row r="29" spans="1:7" ht="16.5" customHeight="1">
      <c r="A29" s="35"/>
      <c r="B29" s="35"/>
      <c r="C29" s="35"/>
      <c r="D29" s="35"/>
      <c r="E29" s="35"/>
      <c r="F29" s="35"/>
      <c r="G29" s="35"/>
    </row>
    <row r="30" spans="1:7" ht="16.5" customHeight="1">
      <c r="A30" s="35"/>
      <c r="B30" s="35"/>
      <c r="C30" s="35"/>
      <c r="D30" s="35"/>
      <c r="E30" s="35"/>
      <c r="F30" s="35"/>
      <c r="G30" s="35"/>
    </row>
    <row r="31" spans="1:7" ht="16.5" customHeight="1">
      <c r="A31" s="35"/>
      <c r="B31" s="35"/>
      <c r="C31" s="35"/>
      <c r="D31" s="35"/>
      <c r="E31" s="35"/>
      <c r="F31" s="35"/>
      <c r="G31" s="35"/>
    </row>
    <row r="32" spans="1:7" ht="16.5" customHeight="1">
      <c r="A32" s="29" t="s">
        <v>100</v>
      </c>
      <c r="B32" s="29" t="s">
        <v>101</v>
      </c>
      <c r="C32" s="29"/>
      <c r="D32" s="29"/>
      <c r="E32" s="35"/>
      <c r="F32" s="35"/>
      <c r="G32" s="35"/>
    </row>
    <row r="33" spans="1:7" ht="16.5" customHeight="1">
      <c r="A33" s="35"/>
      <c r="B33" s="35"/>
      <c r="C33" s="35"/>
      <c r="D33" s="35"/>
      <c r="E33" s="35"/>
      <c r="F33" s="35"/>
      <c r="G33" s="35"/>
    </row>
    <row r="34" spans="1:7" ht="16.5" customHeight="1">
      <c r="A34" s="35"/>
      <c r="B34" s="35"/>
      <c r="C34" s="35"/>
      <c r="D34" s="35"/>
      <c r="E34" s="35"/>
      <c r="F34" s="35"/>
      <c r="G34" s="35"/>
    </row>
    <row r="35" spans="1:7" ht="16.5" customHeight="1">
      <c r="A35" s="35"/>
      <c r="B35" s="35"/>
      <c r="C35" s="35"/>
      <c r="D35" s="35"/>
      <c r="E35" s="35"/>
      <c r="F35" s="35"/>
      <c r="G35" s="35"/>
    </row>
    <row r="36" spans="1:7" ht="16.5" customHeight="1">
      <c r="A36" s="35"/>
      <c r="B36" s="35"/>
      <c r="C36" s="35"/>
      <c r="D36" s="35"/>
      <c r="E36" s="35"/>
      <c r="F36" s="35"/>
      <c r="G36" s="35"/>
    </row>
    <row r="37" spans="1:7" ht="16.5" customHeight="1">
      <c r="A37" s="29" t="s">
        <v>102</v>
      </c>
      <c r="B37" s="29" t="s">
        <v>103</v>
      </c>
      <c r="C37" s="35"/>
      <c r="D37" s="35"/>
      <c r="E37" s="35"/>
      <c r="F37" s="35"/>
      <c r="G37" s="35"/>
    </row>
    <row r="38" spans="1:11" ht="16.5" customHeight="1">
      <c r="A38" s="35"/>
      <c r="B38" s="35"/>
      <c r="C38" s="35"/>
      <c r="D38" s="35"/>
      <c r="E38" s="35"/>
      <c r="F38" s="35"/>
      <c r="G38" s="35"/>
      <c r="I38" t="s">
        <v>104</v>
      </c>
      <c r="K38" s="36" t="s">
        <v>3</v>
      </c>
    </row>
    <row r="39" spans="1:11" ht="16.5" customHeight="1">
      <c r="A39" s="35"/>
      <c r="B39" s="35" t="s">
        <v>225</v>
      </c>
      <c r="C39" s="35"/>
      <c r="D39" s="35"/>
      <c r="E39" s="35"/>
      <c r="F39" s="35"/>
      <c r="G39" s="35"/>
      <c r="I39" s="38">
        <v>97232260</v>
      </c>
      <c r="J39" s="39"/>
      <c r="K39" s="85">
        <v>9723226</v>
      </c>
    </row>
    <row r="40" spans="1:11" ht="16.5" customHeight="1">
      <c r="A40" s="35"/>
      <c r="B40" s="35" t="s">
        <v>34</v>
      </c>
      <c r="C40" s="35"/>
      <c r="D40" s="35"/>
      <c r="E40" s="35"/>
      <c r="F40" s="35"/>
      <c r="G40" s="35"/>
      <c r="I40" s="38"/>
      <c r="K40" s="38"/>
    </row>
    <row r="41" spans="1:11" ht="16.5" customHeight="1" thickBot="1">
      <c r="A41" s="35"/>
      <c r="B41" s="35" t="s">
        <v>226</v>
      </c>
      <c r="C41" s="35"/>
      <c r="D41" s="35"/>
      <c r="E41" s="35"/>
      <c r="F41" s="35"/>
      <c r="G41" s="35"/>
      <c r="I41" s="37">
        <f>I39</f>
        <v>97232260</v>
      </c>
      <c r="K41" s="37">
        <f>K39</f>
        <v>9723226</v>
      </c>
    </row>
    <row r="42" spans="1:11" ht="16.5" customHeight="1" thickTop="1">
      <c r="A42" s="35"/>
      <c r="B42" s="35"/>
      <c r="C42" s="35"/>
      <c r="D42" s="35"/>
      <c r="E42" s="35"/>
      <c r="F42" s="35"/>
      <c r="G42" s="35"/>
      <c r="I42" s="38"/>
      <c r="K42" s="38"/>
    </row>
    <row r="43" spans="1:11" ht="16.5" customHeight="1">
      <c r="A43" s="35"/>
      <c r="B43" s="35"/>
      <c r="C43" s="35"/>
      <c r="D43" s="35"/>
      <c r="E43" s="35"/>
      <c r="F43" s="35"/>
      <c r="G43" s="35"/>
      <c r="I43" s="38"/>
      <c r="K43" s="38"/>
    </row>
    <row r="44" spans="1:11" ht="16.5" customHeight="1">
      <c r="A44" s="35"/>
      <c r="B44" s="35"/>
      <c r="C44" s="35"/>
      <c r="D44" s="35"/>
      <c r="E44" s="35"/>
      <c r="F44" s="35"/>
      <c r="G44" s="35"/>
      <c r="I44" s="38"/>
      <c r="K44" s="38"/>
    </row>
    <row r="45" spans="1:11" ht="16.5" customHeight="1">
      <c r="A45" s="35"/>
      <c r="B45" s="35"/>
      <c r="C45" s="35"/>
      <c r="D45" s="35"/>
      <c r="E45" s="35"/>
      <c r="F45" s="35"/>
      <c r="G45" s="35"/>
      <c r="I45" s="38"/>
      <c r="K45" s="38"/>
    </row>
    <row r="46" spans="1:11" ht="16.5" customHeight="1">
      <c r="A46" s="35"/>
      <c r="B46" s="35"/>
      <c r="C46" s="35"/>
      <c r="D46" s="35"/>
      <c r="E46" s="35"/>
      <c r="F46" s="35"/>
      <c r="G46" s="35"/>
      <c r="I46" s="38"/>
      <c r="K46" s="38"/>
    </row>
    <row r="47" spans="1:9" ht="16.5" customHeight="1">
      <c r="A47" s="29" t="s">
        <v>105</v>
      </c>
      <c r="B47" s="29" t="s">
        <v>106</v>
      </c>
      <c r="C47" s="29"/>
      <c r="D47" s="29"/>
      <c r="E47" s="35"/>
      <c r="F47" s="35"/>
      <c r="G47" s="35"/>
      <c r="I47" t="s">
        <v>34</v>
      </c>
    </row>
    <row r="48" spans="1:7" ht="16.5" customHeight="1">
      <c r="A48" s="35"/>
      <c r="B48" s="35"/>
      <c r="C48" s="35"/>
      <c r="D48" s="35"/>
      <c r="E48" s="35"/>
      <c r="F48" s="35"/>
      <c r="G48" s="35"/>
    </row>
    <row r="49" spans="1:7" ht="16.5" customHeight="1">
      <c r="A49" s="35"/>
      <c r="B49" s="35"/>
      <c r="C49" s="35"/>
      <c r="D49" s="35"/>
      <c r="E49" s="35"/>
      <c r="F49" s="35"/>
      <c r="G49" s="35"/>
    </row>
    <row r="50" spans="1:7" ht="16.5" customHeight="1">
      <c r="A50" s="35"/>
      <c r="B50" s="35"/>
      <c r="C50" s="35"/>
      <c r="D50" s="35"/>
      <c r="E50" s="35"/>
      <c r="F50" s="35"/>
      <c r="G50" s="35"/>
    </row>
    <row r="51" spans="1:7" ht="16.5" customHeight="1">
      <c r="A51" s="29" t="s">
        <v>107</v>
      </c>
      <c r="B51" s="29" t="s">
        <v>108</v>
      </c>
      <c r="C51" s="29"/>
      <c r="D51" s="29"/>
      <c r="E51" s="29"/>
      <c r="F51" s="35"/>
      <c r="G51" s="35"/>
    </row>
    <row r="52" spans="1:7" ht="9" customHeight="1">
      <c r="A52" s="35"/>
      <c r="B52" s="35"/>
      <c r="C52" s="35"/>
      <c r="D52" s="35"/>
      <c r="E52" s="35"/>
      <c r="F52" s="35"/>
      <c r="G52" s="35"/>
    </row>
    <row r="53" ht="16.5" customHeight="1">
      <c r="B53" s="77" t="s">
        <v>198</v>
      </c>
    </row>
    <row r="54" ht="16.5" customHeight="1"/>
    <row r="55" ht="16.5" customHeight="1"/>
    <row r="56" spans="1:8" ht="16.5" customHeight="1">
      <c r="A56" s="29" t="s">
        <v>115</v>
      </c>
      <c r="B56" s="29" t="s">
        <v>116</v>
      </c>
      <c r="C56" s="35"/>
      <c r="D56" s="35"/>
      <c r="E56" s="35"/>
      <c r="F56" s="35"/>
      <c r="G56" s="35"/>
      <c r="H56" s="35"/>
    </row>
    <row r="57" spans="1:8" ht="16.5" customHeight="1">
      <c r="A57" s="35"/>
      <c r="B57" s="35"/>
      <c r="C57" s="35"/>
      <c r="D57" s="35"/>
      <c r="E57" s="35"/>
      <c r="F57" s="35"/>
      <c r="G57" s="35"/>
      <c r="H57" s="35"/>
    </row>
    <row r="58" ht="16.5" customHeight="1"/>
    <row r="59" ht="16.5" customHeight="1"/>
    <row r="60" spans="1:4" ht="16.5" customHeight="1">
      <c r="A60" s="29" t="s">
        <v>117</v>
      </c>
      <c r="B60" s="29" t="s">
        <v>118</v>
      </c>
      <c r="C60" s="29"/>
      <c r="D60" s="29"/>
    </row>
    <row r="61" ht="16.5" customHeight="1"/>
    <row r="62" ht="16.5" customHeight="1"/>
    <row r="63" ht="16.5" customHeight="1"/>
    <row r="64" spans="1:6" ht="16.5" customHeight="1">
      <c r="A64" s="29" t="s">
        <v>119</v>
      </c>
      <c r="B64" s="29" t="s">
        <v>120</v>
      </c>
      <c r="C64" s="35"/>
      <c r="D64" s="35"/>
      <c r="E64" s="35"/>
      <c r="F64" s="35"/>
    </row>
    <row r="65" spans="1:6" ht="16.5" customHeight="1">
      <c r="A65" s="35"/>
      <c r="B65" s="35"/>
      <c r="C65" s="35"/>
      <c r="D65" s="35"/>
      <c r="E65" s="35"/>
      <c r="F65" s="35"/>
    </row>
    <row r="66" ht="16.5" customHeight="1"/>
    <row r="67" ht="16.5" customHeight="1"/>
    <row r="68" spans="1:4" ht="19.5" customHeight="1">
      <c r="A68" s="29" t="s">
        <v>121</v>
      </c>
      <c r="B68" s="29" t="s">
        <v>122</v>
      </c>
      <c r="C68" s="29"/>
      <c r="D68" s="29"/>
    </row>
    <row r="69" ht="16.5" customHeight="1"/>
    <row r="70" ht="16.5" customHeight="1"/>
    <row r="71" ht="16.5" customHeight="1"/>
    <row r="72" spans="1:7" ht="16.5" customHeight="1">
      <c r="A72" s="29" t="s">
        <v>123</v>
      </c>
      <c r="B72" s="29" t="s">
        <v>124</v>
      </c>
      <c r="C72" s="35"/>
      <c r="D72" s="35"/>
      <c r="E72" s="35"/>
      <c r="F72" s="35"/>
      <c r="G72" s="35"/>
    </row>
    <row r="73" ht="16.5" customHeight="1"/>
    <row r="74" ht="16.5" customHeight="1"/>
    <row r="75" ht="16.5" customHeight="1"/>
    <row r="76" spans="1:2" ht="16.5" customHeight="1">
      <c r="A76" s="53" t="s">
        <v>142</v>
      </c>
      <c r="B76" s="29" t="s">
        <v>188</v>
      </c>
    </row>
    <row r="77" ht="16.5" customHeight="1">
      <c r="B77" s="29" t="s">
        <v>204</v>
      </c>
    </row>
    <row r="78" ht="16.5" customHeight="1">
      <c r="B78" s="29"/>
    </row>
    <row r="79" spans="1:2" s="35" customFormat="1" ht="16.5" customHeight="1">
      <c r="A79" s="29" t="s">
        <v>143</v>
      </c>
      <c r="B79" s="29" t="s">
        <v>205</v>
      </c>
    </row>
    <row r="80" s="35" customFormat="1" ht="7.5" customHeight="1"/>
    <row r="81" s="35" customFormat="1" ht="14.25"/>
    <row r="82" s="35" customFormat="1" ht="14.25"/>
    <row r="83" s="35" customFormat="1" ht="14.25"/>
    <row r="84" s="35" customFormat="1" ht="14.25"/>
    <row r="85" s="35" customFormat="1" ht="14.25"/>
    <row r="86" s="35" customFormat="1" ht="14.25"/>
    <row r="87" spans="1:2" s="35" customFormat="1" ht="15">
      <c r="A87" s="29" t="s">
        <v>144</v>
      </c>
      <c r="B87" s="29" t="s">
        <v>145</v>
      </c>
    </row>
    <row r="88" s="35" customFormat="1" ht="14.25"/>
    <row r="89" s="35" customFormat="1" ht="14.25"/>
    <row r="90" s="35" customFormat="1" ht="14.25"/>
    <row r="91" s="35" customFormat="1" ht="14.25"/>
    <row r="92" s="35" customFormat="1" ht="14.25"/>
    <row r="93" s="35" customFormat="1" ht="14.25"/>
    <row r="94" spans="13:16" s="35" customFormat="1" ht="14.25">
      <c r="M94" s="86"/>
      <c r="N94" s="86"/>
      <c r="O94" s="86"/>
      <c r="P94" s="86"/>
    </row>
    <row r="95" spans="13:16" s="35" customFormat="1" ht="14.25">
      <c r="M95" s="86"/>
      <c r="N95" s="86"/>
      <c r="O95" s="86"/>
      <c r="P95" s="86"/>
    </row>
    <row r="96" s="35" customFormat="1" ht="14.25"/>
    <row r="97" s="35" customFormat="1" ht="14.25"/>
    <row r="98" s="35" customFormat="1" ht="14.25"/>
    <row r="99" s="35" customFormat="1" ht="14.25"/>
    <row r="100" spans="1:2" s="35" customFormat="1" ht="15">
      <c r="A100" s="29" t="s">
        <v>146</v>
      </c>
      <c r="B100" s="29" t="s">
        <v>159</v>
      </c>
    </row>
    <row r="101" s="35" customFormat="1" ht="14.25"/>
    <row r="102" s="35" customFormat="1" ht="14.25"/>
    <row r="103" s="35" customFormat="1" ht="14.25"/>
    <row r="104" s="35" customFormat="1" ht="14.25"/>
    <row r="105" s="35" customFormat="1" ht="14.25"/>
    <row r="106" s="35" customFormat="1" ht="14.25"/>
    <row r="107" s="35" customFormat="1" ht="14.25"/>
    <row r="108" s="35" customFormat="1" ht="14.25"/>
    <row r="109" s="35" customFormat="1" ht="14.25"/>
    <row r="110" spans="1:2" s="35" customFormat="1" ht="15">
      <c r="A110" s="29" t="s">
        <v>150</v>
      </c>
      <c r="B110" s="29" t="s">
        <v>160</v>
      </c>
    </row>
    <row r="111" s="35" customFormat="1" ht="14.25"/>
    <row r="112" s="35" customFormat="1" ht="14.25"/>
    <row r="113" s="35" customFormat="1" ht="14.25"/>
    <row r="114" spans="1:2" s="35" customFormat="1" ht="15">
      <c r="A114" s="29" t="s">
        <v>151</v>
      </c>
      <c r="B114" s="29" t="s">
        <v>80</v>
      </c>
    </row>
    <row r="115" s="35" customFormat="1" ht="14.25"/>
    <row r="116" spans="5:11" s="35" customFormat="1" ht="21.75" customHeight="1">
      <c r="E116" s="210" t="s">
        <v>109</v>
      </c>
      <c r="F116" s="229"/>
      <c r="G116" s="229"/>
      <c r="H116" s="211"/>
      <c r="I116" s="230" t="s">
        <v>110</v>
      </c>
      <c r="J116" s="231"/>
      <c r="K116" s="232"/>
    </row>
    <row r="117" spans="5:11" s="35" customFormat="1" ht="14.25" customHeight="1">
      <c r="E117" s="227" t="s">
        <v>111</v>
      </c>
      <c r="F117" s="228"/>
      <c r="G117" s="227" t="s">
        <v>112</v>
      </c>
      <c r="H117" s="228"/>
      <c r="I117" s="227" t="s">
        <v>113</v>
      </c>
      <c r="J117" s="228"/>
      <c r="K117" s="40" t="s">
        <v>114</v>
      </c>
    </row>
    <row r="118" spans="5:11" s="35" customFormat="1" ht="14.25" customHeight="1">
      <c r="E118" s="227" t="s">
        <v>211</v>
      </c>
      <c r="F118" s="228"/>
      <c r="G118" s="227" t="s">
        <v>223</v>
      </c>
      <c r="H118" s="228"/>
      <c r="I118" s="227" t="s">
        <v>211</v>
      </c>
      <c r="J118" s="228"/>
      <c r="K118" s="40" t="s">
        <v>224</v>
      </c>
    </row>
    <row r="119" spans="5:11" s="35" customFormat="1" ht="14.25">
      <c r="E119" s="210" t="s">
        <v>3</v>
      </c>
      <c r="F119" s="211"/>
      <c r="G119" s="210" t="s">
        <v>3</v>
      </c>
      <c r="H119" s="211"/>
      <c r="I119" s="210" t="s">
        <v>3</v>
      </c>
      <c r="J119" s="211"/>
      <c r="K119" s="41" t="s">
        <v>3</v>
      </c>
    </row>
    <row r="120" spans="5:11" s="35" customFormat="1" ht="14.25">
      <c r="E120" s="208"/>
      <c r="F120" s="209"/>
      <c r="G120" s="208"/>
      <c r="H120" s="209"/>
      <c r="I120" s="212"/>
      <c r="J120" s="213"/>
      <c r="K120" s="42"/>
    </row>
    <row r="121" spans="2:11" s="35" customFormat="1" ht="14.25">
      <c r="B121" s="35" t="s">
        <v>147</v>
      </c>
      <c r="E121" s="206" t="e">
        <f>-#REF!</f>
        <v>#REF!</v>
      </c>
      <c r="F121" s="207"/>
      <c r="G121" s="197">
        <v>0</v>
      </c>
      <c r="H121" s="220"/>
      <c r="I121" s="218" t="e">
        <f>-#REF!</f>
        <v>#REF!</v>
      </c>
      <c r="J121" s="219"/>
      <c r="K121" s="54">
        <v>0</v>
      </c>
    </row>
    <row r="122" spans="2:11" s="35" customFormat="1" ht="14.25">
      <c r="B122" s="35" t="s">
        <v>148</v>
      </c>
      <c r="E122" s="197"/>
      <c r="F122" s="220"/>
      <c r="G122" s="197" t="s">
        <v>34</v>
      </c>
      <c r="H122" s="220"/>
      <c r="I122" s="197" t="s">
        <v>34</v>
      </c>
      <c r="J122" s="220"/>
      <c r="K122" s="55" t="s">
        <v>34</v>
      </c>
    </row>
    <row r="123" spans="2:11" s="35" customFormat="1" ht="14.25">
      <c r="B123" s="35" t="s">
        <v>149</v>
      </c>
      <c r="E123" s="216">
        <v>0</v>
      </c>
      <c r="F123" s="217"/>
      <c r="G123" s="216">
        <v>0</v>
      </c>
      <c r="H123" s="217"/>
      <c r="I123" s="216">
        <f>+E123</f>
        <v>0</v>
      </c>
      <c r="J123" s="217"/>
      <c r="K123" s="56">
        <v>0</v>
      </c>
    </row>
    <row r="124" spans="5:11" s="35" customFormat="1" ht="14.25">
      <c r="E124" s="221" t="e">
        <f>SUM(E121:F123)</f>
        <v>#REF!</v>
      </c>
      <c r="F124" s="222"/>
      <c r="G124" s="221">
        <f>SUM(G121:H123)</f>
        <v>0</v>
      </c>
      <c r="H124" s="222"/>
      <c r="I124" s="221" t="e">
        <f>SUM(I121:J123)</f>
        <v>#REF!</v>
      </c>
      <c r="J124" s="222"/>
      <c r="K124" s="57">
        <f>SUM(K121:K123)</f>
        <v>0</v>
      </c>
    </row>
    <row r="125" spans="2:11" s="35" customFormat="1" ht="14.25">
      <c r="B125" s="35" t="s">
        <v>31</v>
      </c>
      <c r="E125" s="223">
        <v>0</v>
      </c>
      <c r="F125" s="224"/>
      <c r="G125" s="223">
        <v>0</v>
      </c>
      <c r="H125" s="224"/>
      <c r="I125" s="223">
        <v>0</v>
      </c>
      <c r="J125" s="224"/>
      <c r="K125" s="58">
        <v>0</v>
      </c>
    </row>
    <row r="126" spans="5:11" s="35" customFormat="1" ht="15" thickBot="1">
      <c r="E126" s="214" t="e">
        <f>SUM(E124:F125)</f>
        <v>#REF!</v>
      </c>
      <c r="F126" s="215"/>
      <c r="G126" s="214">
        <f>SUM(G124:H125)</f>
        <v>0</v>
      </c>
      <c r="H126" s="215"/>
      <c r="I126" s="214" t="e">
        <f>SUM(I124:J125)</f>
        <v>#REF!</v>
      </c>
      <c r="J126" s="215"/>
      <c r="K126" s="59">
        <f>SUM(K124:K125)</f>
        <v>0</v>
      </c>
    </row>
    <row r="127" s="35" customFormat="1" ht="15" thickTop="1"/>
    <row r="128" s="35" customFormat="1" ht="14.25"/>
    <row r="129" s="35" customFormat="1" ht="14.25"/>
    <row r="130" s="35" customFormat="1" ht="14.25"/>
    <row r="131" s="35" customFormat="1" ht="14.25"/>
    <row r="132" spans="1:2" s="35" customFormat="1" ht="15">
      <c r="A132" s="29" t="s">
        <v>152</v>
      </c>
      <c r="B132" s="29" t="s">
        <v>161</v>
      </c>
    </row>
    <row r="133" s="35" customFormat="1" ht="14.25"/>
    <row r="134" s="35" customFormat="1" ht="14.25"/>
    <row r="135" s="35" customFormat="1" ht="14.25"/>
    <row r="136" spans="1:2" s="35" customFormat="1" ht="15">
      <c r="A136" s="29" t="s">
        <v>153</v>
      </c>
      <c r="B136" s="29" t="s">
        <v>154</v>
      </c>
    </row>
    <row r="137" s="35" customFormat="1" ht="14.25"/>
    <row r="138" s="35" customFormat="1" ht="14.25"/>
    <row r="139" s="35" customFormat="1" ht="14.25"/>
    <row r="140" s="35" customFormat="1" ht="14.25"/>
    <row r="141" spans="1:2" s="35" customFormat="1" ht="15">
      <c r="A141" s="29" t="s">
        <v>155</v>
      </c>
      <c r="B141" s="29" t="s">
        <v>162</v>
      </c>
    </row>
    <row r="142" s="35" customFormat="1" ht="14.25"/>
    <row r="143" s="35" customFormat="1" ht="14.25"/>
    <row r="144" s="35" customFormat="1" ht="14.25"/>
    <row r="145" s="35" customFormat="1" ht="15">
      <c r="B145" s="29" t="s">
        <v>34</v>
      </c>
    </row>
    <row r="146" spans="7:11" s="35" customFormat="1" ht="12.75" customHeight="1">
      <c r="G146" s="226"/>
      <c r="H146" s="226"/>
      <c r="I146" s="225" t="s">
        <v>34</v>
      </c>
      <c r="J146" s="225"/>
      <c r="K146" s="35" t="s">
        <v>34</v>
      </c>
    </row>
    <row r="147" s="35" customFormat="1" ht="14.25"/>
    <row r="148" s="35" customFormat="1" ht="14.25"/>
    <row r="149" s="35" customFormat="1" ht="14.25"/>
    <row r="150" s="35" customFormat="1" ht="14.25"/>
    <row r="151" spans="1:2" s="35" customFormat="1" ht="15">
      <c r="A151" s="29" t="s">
        <v>156</v>
      </c>
      <c r="B151" s="29" t="s">
        <v>157</v>
      </c>
    </row>
    <row r="152" s="35" customFormat="1" ht="14.25"/>
    <row r="153" s="35" customFormat="1" ht="14.25"/>
    <row r="154" s="35" customFormat="1" ht="14.25"/>
    <row r="155" s="35" customFormat="1" ht="14.25"/>
    <row r="156" spans="1:2" s="35" customFormat="1" ht="15">
      <c r="A156" s="29" t="s">
        <v>158</v>
      </c>
      <c r="B156" s="29" t="s">
        <v>163</v>
      </c>
    </row>
    <row r="157" s="35" customFormat="1" ht="14.25"/>
    <row r="158" s="35" customFormat="1" ht="14.25"/>
    <row r="159" s="35" customFormat="1" ht="14.25"/>
    <row r="160" spans="1:2" s="35" customFormat="1" ht="15">
      <c r="A160" s="29" t="s">
        <v>164</v>
      </c>
      <c r="B160" s="29" t="s">
        <v>165</v>
      </c>
    </row>
    <row r="161" s="35" customFormat="1" ht="14.25"/>
    <row r="162" s="35" customFormat="1" ht="14.25"/>
    <row r="163" s="35" customFormat="1" ht="14.25"/>
    <row r="164" s="35" customFormat="1" ht="14.25"/>
    <row r="165" s="35" customFormat="1" ht="14.25"/>
    <row r="166" spans="1:2" s="35" customFormat="1" ht="15">
      <c r="A166" s="29" t="s">
        <v>166</v>
      </c>
      <c r="B166" s="29" t="s">
        <v>106</v>
      </c>
    </row>
    <row r="167" s="35" customFormat="1" ht="14.25"/>
    <row r="168" s="35" customFormat="1" ht="14.25"/>
    <row r="169" s="35" customFormat="1" ht="14.25"/>
    <row r="170" s="35" customFormat="1" ht="14.25"/>
    <row r="171" s="35" customFormat="1" ht="14.25"/>
    <row r="172" spans="1:2" s="35" customFormat="1" ht="15">
      <c r="A172" s="29" t="s">
        <v>167</v>
      </c>
      <c r="B172" s="29" t="s">
        <v>168</v>
      </c>
    </row>
    <row r="173" s="35" customFormat="1" ht="14.25"/>
    <row r="174" s="35" customFormat="1" ht="14.25"/>
    <row r="175" s="35" customFormat="1" ht="14.25"/>
    <row r="176" s="35" customFormat="1" ht="14.25"/>
    <row r="177" s="35" customFormat="1" ht="14.25"/>
    <row r="178" s="35" customFormat="1" ht="14.25"/>
    <row r="179" s="35" customFormat="1" ht="14.25"/>
    <row r="180" spans="1:2" s="35" customFormat="1" ht="15">
      <c r="A180" s="29" t="s">
        <v>171</v>
      </c>
      <c r="B180" s="29" t="s">
        <v>172</v>
      </c>
    </row>
    <row r="181" s="35" customFormat="1" ht="14.25"/>
    <row r="182" s="35" customFormat="1" ht="14.25"/>
    <row r="183" s="35" customFormat="1" ht="14.25"/>
    <row r="184" s="35" customFormat="1" ht="14.25"/>
    <row r="185" s="35" customFormat="1" ht="14.25"/>
    <row r="186" s="35" customFormat="1" ht="14.25"/>
    <row r="187" s="35" customFormat="1" ht="14.25"/>
    <row r="188" s="35" customFormat="1" ht="14.25"/>
    <row r="189" s="35" customFormat="1" ht="14.25"/>
    <row r="190" s="35" customFormat="1" ht="14.25"/>
    <row r="191" s="35" customFormat="1" ht="14.25"/>
    <row r="192" s="35" customFormat="1" ht="14.25"/>
    <row r="193" s="35" customFormat="1" ht="14.25"/>
    <row r="194" s="35" customFormat="1" ht="14.25"/>
    <row r="195" s="35" customFormat="1" ht="14.25"/>
    <row r="196" s="35" customFormat="1" ht="14.25"/>
    <row r="197" s="35" customFormat="1" ht="14.25"/>
    <row r="198" s="35" customFormat="1" ht="14.25"/>
    <row r="199" s="35" customFormat="1" ht="14.25"/>
    <row r="200" s="35" customFormat="1" ht="14.25"/>
    <row r="201" s="35" customFormat="1" ht="14.25"/>
    <row r="202" s="35" customFormat="1" ht="14.25"/>
    <row r="203" s="35" customFormat="1" ht="14.25"/>
    <row r="204" s="35" customFormat="1" ht="14.25"/>
    <row r="205" s="35" customFormat="1" ht="14.25"/>
    <row r="206" s="35" customFormat="1" ht="14.25"/>
    <row r="207" s="35" customFormat="1" ht="14.25"/>
    <row r="208" s="35" customFormat="1" ht="14.25"/>
    <row r="209" s="35" customFormat="1" ht="14.25"/>
    <row r="210" s="35" customFormat="1" ht="14.25"/>
    <row r="211" s="35" customFormat="1" ht="14.25"/>
    <row r="212" s="35" customFormat="1" ht="14.25"/>
    <row r="213" s="35" customFormat="1" ht="14.25"/>
    <row r="214" s="35" customFormat="1" ht="14.25"/>
    <row r="215" s="35" customFormat="1" ht="14.25"/>
    <row r="216" s="35" customFormat="1" ht="14.25"/>
    <row r="217" s="35" customFormat="1" ht="14.25"/>
    <row r="218" s="35" customFormat="1" ht="14.25"/>
    <row r="219" s="35" customFormat="1" ht="14.25"/>
    <row r="220" s="35" customFormat="1" ht="14.25"/>
    <row r="221" s="35" customFormat="1" ht="14.25"/>
    <row r="222" s="35" customFormat="1" ht="14.25"/>
    <row r="223" s="35" customFormat="1" ht="14.25"/>
    <row r="224" s="35" customFormat="1" ht="14.25"/>
    <row r="225" s="35" customFormat="1" ht="14.25"/>
    <row r="226" s="35" customFormat="1" ht="14.25"/>
    <row r="227" s="35" customFormat="1" ht="14.25"/>
    <row r="228" s="35" customFormat="1" ht="14.25"/>
    <row r="229" s="35" customFormat="1" ht="14.25"/>
    <row r="230" s="35" customFormat="1" ht="14.25"/>
    <row r="231" s="35" customFormat="1" ht="14.25"/>
    <row r="232" s="35" customFormat="1" ht="14.25"/>
    <row r="233" s="35" customFormat="1" ht="14.25"/>
    <row r="234" s="35" customFormat="1" ht="14.25"/>
    <row r="235" s="35" customFormat="1" ht="14.25"/>
    <row r="236" s="35" customFormat="1" ht="14.25"/>
    <row r="237" s="35" customFormat="1" ht="14.25"/>
    <row r="238" s="35" customFormat="1" ht="14.25"/>
    <row r="239" s="35" customFormat="1" ht="14.25"/>
    <row r="240" s="35" customFormat="1" ht="14.25"/>
    <row r="241" s="35" customFormat="1" ht="14.25"/>
    <row r="242" s="35" customFormat="1" ht="14.25"/>
    <row r="243" s="35" customFormat="1" ht="14.25"/>
    <row r="244" s="35" customFormat="1" ht="14.25"/>
    <row r="245" s="35" customFormat="1" ht="14.25"/>
    <row r="246" s="35" customFormat="1" ht="14.25"/>
    <row r="247" s="35" customFormat="1" ht="14.25"/>
    <row r="248" s="35" customFormat="1" ht="14.25"/>
    <row r="249" s="35" customFormat="1" ht="14.25"/>
    <row r="250" s="35" customFormat="1" ht="14.25"/>
    <row r="251" s="35" customFormat="1" ht="14.25"/>
    <row r="252" s="35" customFormat="1" ht="14.25"/>
    <row r="253" s="35" customFormat="1" ht="14.25"/>
    <row r="254" s="35" customFormat="1" ht="14.25"/>
    <row r="255" s="35" customFormat="1" ht="14.25"/>
    <row r="256" s="35" customFormat="1" ht="14.25"/>
    <row r="257" s="35" customFormat="1" ht="14.25"/>
    <row r="258" s="35" customFormat="1" ht="14.25"/>
    <row r="259" s="35" customFormat="1" ht="14.25"/>
    <row r="260" s="35" customFormat="1" ht="14.25"/>
    <row r="261" s="35" customFormat="1" ht="14.25"/>
    <row r="262" s="35" customFormat="1" ht="14.25"/>
    <row r="263" s="35" customFormat="1" ht="14.25"/>
    <row r="264" s="35" customFormat="1" ht="14.25"/>
    <row r="265" s="35" customFormat="1" ht="14.25"/>
    <row r="266" s="35" customFormat="1" ht="14.25"/>
    <row r="267" s="35" customFormat="1" ht="14.25"/>
    <row r="268" s="35" customFormat="1" ht="14.25"/>
    <row r="269" s="35" customFormat="1" ht="14.25"/>
    <row r="270" s="35" customFormat="1" ht="14.25"/>
    <row r="271" s="35" customFormat="1" ht="14.25"/>
    <row r="272" s="35" customFormat="1" ht="14.25"/>
    <row r="273" s="35" customFormat="1" ht="14.25"/>
    <row r="274" s="35" customFormat="1" ht="14.25"/>
    <row r="275" s="35" customFormat="1" ht="14.25"/>
    <row r="276" s="35" customFormat="1" ht="14.25"/>
    <row r="277" s="35" customFormat="1" ht="14.25"/>
    <row r="278" s="35" customFormat="1" ht="14.25"/>
    <row r="279" s="35" customFormat="1" ht="14.25"/>
    <row r="280" s="35" customFormat="1" ht="14.25"/>
    <row r="281" s="35" customFormat="1" ht="14.25"/>
    <row r="282" s="35" customFormat="1" ht="14.25"/>
    <row r="283" s="35" customFormat="1" ht="14.25"/>
    <row r="284" s="35" customFormat="1" ht="14.25"/>
    <row r="285" s="35" customFormat="1" ht="14.25"/>
    <row r="286" s="35" customFormat="1" ht="14.25"/>
    <row r="287" s="35" customFormat="1" ht="14.25"/>
    <row r="288" s="35" customFormat="1" ht="14.25"/>
    <row r="289" s="35" customFormat="1" ht="14.25"/>
    <row r="290" s="35" customFormat="1" ht="14.25"/>
    <row r="291" s="35" customFormat="1" ht="14.25"/>
    <row r="292" s="35" customFormat="1" ht="14.25"/>
    <row r="293" s="35" customFormat="1" ht="14.25"/>
    <row r="294" s="35" customFormat="1" ht="14.25"/>
    <row r="295" s="35" customFormat="1" ht="14.25"/>
    <row r="296" s="35" customFormat="1" ht="14.25"/>
    <row r="297" s="35" customFormat="1" ht="14.25"/>
    <row r="298" s="35" customFormat="1" ht="14.25"/>
    <row r="299" s="35" customFormat="1" ht="14.25"/>
    <row r="300" s="35" customFormat="1" ht="14.25"/>
    <row r="301" s="35" customFormat="1" ht="14.25"/>
    <row r="302" s="35" customFormat="1" ht="14.25"/>
    <row r="303" s="35" customFormat="1" ht="14.25"/>
    <row r="304" s="35" customFormat="1" ht="14.25"/>
    <row r="305" s="35" customFormat="1" ht="14.25"/>
    <row r="306" s="35" customFormat="1" ht="14.25"/>
    <row r="307" s="35" customFormat="1" ht="14.25"/>
    <row r="308" s="35" customFormat="1" ht="14.25"/>
    <row r="309" s="35" customFormat="1" ht="14.25"/>
    <row r="310" s="35" customFormat="1" ht="14.25"/>
    <row r="311" s="35" customFormat="1" ht="14.25"/>
    <row r="312" s="35" customFormat="1" ht="14.25"/>
    <row r="313" s="35" customFormat="1" ht="14.25"/>
    <row r="314" s="35" customFormat="1" ht="14.25"/>
    <row r="315" s="35" customFormat="1" ht="14.25"/>
    <row r="316" s="35" customFormat="1" ht="14.25"/>
    <row r="317" s="35" customFormat="1" ht="14.25"/>
    <row r="318" s="35" customFormat="1" ht="14.25"/>
    <row r="319" s="35" customFormat="1" ht="14.25"/>
    <row r="320" s="35" customFormat="1" ht="14.25"/>
    <row r="321" s="35" customFormat="1" ht="14.25"/>
    <row r="322" s="35" customFormat="1" ht="14.25"/>
    <row r="323" s="35" customFormat="1" ht="14.25"/>
    <row r="324" s="35" customFormat="1" ht="14.25"/>
    <row r="325" s="35" customFormat="1" ht="14.25"/>
    <row r="326" s="35" customFormat="1" ht="14.25"/>
    <row r="327" s="35" customFormat="1" ht="14.25"/>
    <row r="328" s="35" customFormat="1" ht="14.25"/>
    <row r="329" s="35" customFormat="1" ht="14.25"/>
    <row r="330" s="35" customFormat="1" ht="14.25"/>
    <row r="331" s="35" customFormat="1" ht="14.25"/>
    <row r="332" s="35" customFormat="1" ht="14.25"/>
    <row r="333" s="35" customFormat="1" ht="14.25"/>
    <row r="334" s="35" customFormat="1" ht="14.25"/>
    <row r="335" s="35" customFormat="1" ht="14.25"/>
    <row r="336" s="35" customFormat="1" ht="14.25"/>
    <row r="337" s="35" customFormat="1" ht="14.25"/>
    <row r="338" s="35" customFormat="1" ht="14.25"/>
    <row r="339" s="35" customFormat="1" ht="14.25"/>
    <row r="340" s="35" customFormat="1" ht="14.25"/>
    <row r="341" s="35" customFormat="1" ht="14.25"/>
    <row r="342" s="35" customFormat="1" ht="14.25"/>
    <row r="343" s="35" customFormat="1" ht="14.25"/>
    <row r="344" s="35" customFormat="1" ht="14.25"/>
    <row r="345" s="35" customFormat="1" ht="14.25"/>
    <row r="346" s="35" customFormat="1" ht="14.25"/>
    <row r="347" s="35" customFormat="1" ht="14.25"/>
    <row r="348" s="35" customFormat="1" ht="14.25"/>
    <row r="349" s="35" customFormat="1" ht="14.25"/>
    <row r="350" s="35" customFormat="1" ht="14.25"/>
    <row r="351" s="35" customFormat="1" ht="14.25"/>
    <row r="352" s="35" customFormat="1" ht="14.25"/>
    <row r="353" s="35" customFormat="1" ht="14.25"/>
    <row r="354" s="35" customFormat="1" ht="14.25"/>
    <row r="355" s="35" customFormat="1" ht="14.25"/>
    <row r="356" s="35" customFormat="1" ht="14.25"/>
    <row r="357" s="35" customFormat="1" ht="14.25"/>
    <row r="358" s="35" customFormat="1" ht="14.25"/>
    <row r="359" s="35" customFormat="1" ht="14.25"/>
    <row r="360" s="35" customFormat="1" ht="14.25"/>
    <row r="361" s="35" customFormat="1" ht="14.25"/>
    <row r="362" s="35" customFormat="1" ht="14.25"/>
    <row r="363" s="35" customFormat="1" ht="14.25"/>
    <row r="364" s="35" customFormat="1" ht="14.25"/>
    <row r="365" s="35" customFormat="1" ht="14.25"/>
    <row r="366" s="35" customFormat="1" ht="14.25"/>
    <row r="367" s="35" customFormat="1" ht="14.25"/>
    <row r="368" s="35" customFormat="1" ht="14.25"/>
    <row r="369" s="35" customFormat="1" ht="14.25"/>
    <row r="370" s="35" customFormat="1" ht="14.25"/>
    <row r="371" s="35" customFormat="1" ht="14.25"/>
    <row r="372" s="35" customFormat="1" ht="14.25"/>
    <row r="373" s="35" customFormat="1" ht="14.25"/>
    <row r="374" s="35" customFormat="1" ht="14.25"/>
    <row r="375" s="35" customFormat="1" ht="14.25"/>
    <row r="376" s="35" customFormat="1" ht="14.25"/>
    <row r="377" s="35" customFormat="1" ht="14.25"/>
    <row r="378" s="35" customFormat="1" ht="14.25"/>
    <row r="379" s="35" customFormat="1" ht="14.25"/>
    <row r="380" s="35" customFormat="1" ht="14.25"/>
    <row r="381" s="35" customFormat="1" ht="14.25"/>
    <row r="382" s="35" customFormat="1" ht="14.25"/>
    <row r="383" s="35" customFormat="1" ht="14.25"/>
    <row r="384" s="35" customFormat="1" ht="14.25"/>
    <row r="385" s="35" customFormat="1" ht="14.25"/>
    <row r="386" s="35" customFormat="1" ht="14.25"/>
    <row r="387" s="35" customFormat="1" ht="14.25"/>
  </sheetData>
  <sheetProtection/>
  <mergeCells count="34">
    <mergeCell ref="E118:F118"/>
    <mergeCell ref="E116:H116"/>
    <mergeCell ref="I116:K116"/>
    <mergeCell ref="E117:F117"/>
    <mergeCell ref="G117:H117"/>
    <mergeCell ref="I117:J117"/>
    <mergeCell ref="G118:H118"/>
    <mergeCell ref="I118:J118"/>
    <mergeCell ref="I146:J146"/>
    <mergeCell ref="G146:H146"/>
    <mergeCell ref="I122:J122"/>
    <mergeCell ref="G126:H126"/>
    <mergeCell ref="I126:J126"/>
    <mergeCell ref="I125:J125"/>
    <mergeCell ref="I124:J124"/>
    <mergeCell ref="G123:H123"/>
    <mergeCell ref="G122:H122"/>
    <mergeCell ref="E126:F126"/>
    <mergeCell ref="I123:J123"/>
    <mergeCell ref="E123:F123"/>
    <mergeCell ref="I121:J121"/>
    <mergeCell ref="G121:H121"/>
    <mergeCell ref="E124:F124"/>
    <mergeCell ref="G124:H124"/>
    <mergeCell ref="E125:F125"/>
    <mergeCell ref="G125:H125"/>
    <mergeCell ref="E122:F122"/>
    <mergeCell ref="E121:F121"/>
    <mergeCell ref="E120:F120"/>
    <mergeCell ref="E119:F119"/>
    <mergeCell ref="I119:J119"/>
    <mergeCell ref="G119:H119"/>
    <mergeCell ref="G120:H120"/>
    <mergeCell ref="I120:J120"/>
  </mergeCells>
  <printOptions/>
  <pageMargins left="0.32" right="0.43" top="0.32" bottom="0.66" header="0.23" footer="0.41"/>
  <pageSetup horizontalDpi="600" verticalDpi="600" orientation="portrait" paperSize="9" scale="75" r:id="rId2"/>
  <headerFooter alignWithMargins="0">
    <oddFooter>&amp;C&amp;8page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A11" sqref="A11"/>
    </sheetView>
  </sheetViews>
  <sheetFormatPr defaultColWidth="9.140625" defaultRowHeight="12.75"/>
  <cols>
    <col min="1" max="1" width="3.7109375" style="9" customWidth="1"/>
    <col min="2" max="2" width="46.7109375" style="9" customWidth="1"/>
    <col min="3" max="3" width="9.140625" style="9" customWidth="1"/>
    <col min="4" max="5" width="14.28125" style="9" bestFit="1" customWidth="1"/>
    <col min="6" max="6" width="13.140625" style="12" customWidth="1"/>
    <col min="7" max="7" width="9.140625" style="9" customWidth="1"/>
    <col min="8" max="8" width="10.28125" style="9" bestFit="1" customWidth="1"/>
    <col min="9" max="16384" width="9.140625" style="9" customWidth="1"/>
  </cols>
  <sheetData>
    <row r="1" ht="15.75">
      <c r="A1" s="20" t="s">
        <v>55</v>
      </c>
    </row>
    <row r="2" ht="12.75">
      <c r="A2" s="9" t="s">
        <v>48</v>
      </c>
    </row>
    <row r="3" ht="12.75">
      <c r="A3" s="22" t="s">
        <v>8</v>
      </c>
    </row>
    <row r="4" ht="12.75">
      <c r="A4" s="22" t="s">
        <v>227</v>
      </c>
    </row>
    <row r="5" ht="12.75">
      <c r="A5" s="23" t="s">
        <v>9</v>
      </c>
    </row>
    <row r="7" ht="12.75">
      <c r="A7" s="2" t="s">
        <v>141</v>
      </c>
    </row>
    <row r="8" spans="1:6" ht="12.75">
      <c r="A8" s="2" t="s">
        <v>228</v>
      </c>
      <c r="F8" s="9"/>
    </row>
    <row r="9" spans="1:5" ht="12.75">
      <c r="A9" s="2"/>
      <c r="D9" s="30" t="s">
        <v>139</v>
      </c>
      <c r="E9" s="30" t="s">
        <v>139</v>
      </c>
    </row>
    <row r="10" spans="1:5" ht="12.75">
      <c r="A10" s="2"/>
      <c r="D10" s="30" t="s">
        <v>140</v>
      </c>
      <c r="E10" s="30" t="s">
        <v>140</v>
      </c>
    </row>
    <row r="11" spans="1:5" ht="12.75">
      <c r="A11" s="31"/>
      <c r="D11" s="30" t="s">
        <v>211</v>
      </c>
      <c r="E11" s="61" t="s">
        <v>206</v>
      </c>
    </row>
    <row r="12" spans="1:5" ht="12.75">
      <c r="A12" s="2" t="s">
        <v>34</v>
      </c>
      <c r="D12" s="61" t="s">
        <v>3</v>
      </c>
      <c r="E12" s="30" t="s">
        <v>3</v>
      </c>
    </row>
    <row r="13" spans="4:5" ht="12.75">
      <c r="D13" s="12"/>
      <c r="E13" s="12"/>
    </row>
    <row r="14" spans="1:8" ht="12.75">
      <c r="A14" s="2" t="s">
        <v>81</v>
      </c>
      <c r="D14" s="17" t="e">
        <f>-'WK Cashflow worksheet(H)'!K13-'WK Cashflow worksheet(H)'!K22</f>
        <v>#REF!</v>
      </c>
      <c r="E14" s="12">
        <v>6260950.93380771</v>
      </c>
      <c r="H14" s="48"/>
    </row>
    <row r="15" spans="4:8" ht="12.75">
      <c r="D15" s="12"/>
      <c r="E15" s="12"/>
      <c r="H15" s="48"/>
    </row>
    <row r="16" spans="1:8" ht="12.75">
      <c r="A16" s="2" t="s">
        <v>184</v>
      </c>
      <c r="D16" s="12" t="e">
        <f>-'WK Cashflow worksheet(H)'!K4-'WK Cashflow worksheet(H)'!K7-'WK Cashflow worksheet(H)'!K8-'WK Cashflow worksheet(H)'!K78</f>
        <v>#REF!</v>
      </c>
      <c r="E16" s="12">
        <v>3616373.34</v>
      </c>
      <c r="H16" s="48"/>
    </row>
    <row r="17" spans="4:8" ht="12.75">
      <c r="D17" s="12"/>
      <c r="E17" s="12"/>
      <c r="H17" s="48"/>
    </row>
    <row r="18" spans="1:8" ht="12.75">
      <c r="A18" s="2" t="s">
        <v>82</v>
      </c>
      <c r="D18" s="12" t="e">
        <f>-'WK Cashflow worksheet(H)'!K36</f>
        <v>#REF!</v>
      </c>
      <c r="E18" s="12">
        <v>8559250.64</v>
      </c>
      <c r="H18" s="48"/>
    </row>
    <row r="19" spans="4:8" ht="12.75">
      <c r="D19" s="11"/>
      <c r="E19" s="11"/>
      <c r="H19" s="48"/>
    </row>
    <row r="20" spans="1:8" ht="12.75">
      <c r="A20" s="2" t="s">
        <v>85</v>
      </c>
      <c r="D20" s="12" t="e">
        <f>D14+D16+D18</f>
        <v>#REF!</v>
      </c>
      <c r="E20" s="12">
        <v>18436574.913807712</v>
      </c>
      <c r="H20" s="48"/>
    </row>
    <row r="21" spans="4:8" ht="12.75">
      <c r="D21" s="12"/>
      <c r="E21" s="12"/>
      <c r="H21" s="48"/>
    </row>
    <row r="22" spans="1:8" ht="12.75">
      <c r="A22" s="2" t="s">
        <v>222</v>
      </c>
      <c r="D22" s="12">
        <f>-'[1]WK Cashflow worksheet'!K15</f>
        <v>46470</v>
      </c>
      <c r="E22" s="12">
        <v>46470</v>
      </c>
      <c r="H22" s="48"/>
    </row>
    <row r="23" spans="1:8" ht="12.75">
      <c r="A23" s="2"/>
      <c r="D23" s="12"/>
      <c r="E23" s="12"/>
      <c r="H23" s="48"/>
    </row>
    <row r="24" spans="1:8" ht="13.5" thickBot="1">
      <c r="A24" s="2" t="s">
        <v>183</v>
      </c>
      <c r="D24" s="32" t="e">
        <f>SUM(D20:D22)</f>
        <v>#REF!</v>
      </c>
      <c r="E24" s="32">
        <v>18483044.913807712</v>
      </c>
      <c r="H24" s="48"/>
    </row>
    <row r="25" ht="13.5" thickTop="1"/>
    <row r="27" spans="1:5" ht="12.75">
      <c r="A27" s="66" t="s">
        <v>93</v>
      </c>
      <c r="B27" s="233" t="s">
        <v>194</v>
      </c>
      <c r="C27" s="233"/>
      <c r="D27" s="233"/>
      <c r="E27" s="233"/>
    </row>
    <row r="28" spans="1:5" ht="15.75" customHeight="1">
      <c r="A28" s="66"/>
      <c r="B28" s="67" t="s">
        <v>202</v>
      </c>
      <c r="C28"/>
      <c r="D28"/>
      <c r="E28"/>
    </row>
    <row r="29" spans="1:5" ht="12.75">
      <c r="A29" s="68"/>
      <c r="B29" s="69"/>
      <c r="C29" s="70"/>
      <c r="D29" s="71" t="s">
        <v>3</v>
      </c>
      <c r="E29" s="70"/>
    </row>
    <row r="30" spans="1:5" ht="12.75">
      <c r="A30" s="68"/>
      <c r="B30" s="69"/>
      <c r="C30" s="70"/>
      <c r="D30" s="70"/>
      <c r="E30" s="70"/>
    </row>
    <row r="31" spans="1:5" ht="12.75">
      <c r="A31" s="68"/>
      <c r="B31" s="69" t="s">
        <v>176</v>
      </c>
      <c r="C31" s="70"/>
      <c r="D31" s="72">
        <f>'[1]WK Cashflow worksheet'!D93</f>
        <v>1304559.83</v>
      </c>
      <c r="E31" s="70"/>
    </row>
    <row r="32" spans="1:5" ht="12.75">
      <c r="A32" s="68"/>
      <c r="B32" s="69" t="s">
        <v>177</v>
      </c>
      <c r="C32" s="70"/>
      <c r="D32" s="72">
        <f>'[1]WK Cashflow worksheet'!D90+'[1]WK Cashflow worksheet'!D91+'[1]WK Cashflow worksheet'!D92</f>
        <v>7316850.23</v>
      </c>
      <c r="E32" s="70"/>
    </row>
    <row r="33" spans="1:5" ht="12.75">
      <c r="A33" s="68"/>
      <c r="B33" s="69" t="s">
        <v>15</v>
      </c>
      <c r="C33" s="70"/>
      <c r="D33" s="73">
        <f>'[1]WK Cashflow worksheet'!D94+'[1]WK Cashflow worksheet'!D95</f>
        <v>-4645574.23</v>
      </c>
      <c r="E33" s="70"/>
    </row>
    <row r="34" spans="1:5" ht="12.75">
      <c r="A34" s="68"/>
      <c r="B34" s="74" t="s">
        <v>178</v>
      </c>
      <c r="C34" s="70"/>
      <c r="D34" s="72">
        <f>SUM(D31:D33)</f>
        <v>3975835.83</v>
      </c>
      <c r="E34" s="70"/>
    </row>
    <row r="35" spans="1:5" ht="12.75">
      <c r="A35" s="68"/>
      <c r="B35" s="70" t="s">
        <v>6</v>
      </c>
      <c r="C35" s="70"/>
      <c r="D35" s="73">
        <f>'[1]WK Cashflow worksheet'!D99-0.6</f>
        <v>1747390.29</v>
      </c>
      <c r="E35" s="70"/>
    </row>
    <row r="36" spans="1:5" ht="12.75">
      <c r="A36" s="68"/>
      <c r="B36" s="69" t="s">
        <v>179</v>
      </c>
      <c r="C36" s="70"/>
      <c r="D36" s="72">
        <f>SUM(D34:D35)</f>
        <v>5723226.12</v>
      </c>
      <c r="E36" s="70"/>
    </row>
    <row r="37" spans="1:5" ht="12.75">
      <c r="A37" s="68"/>
      <c r="B37" s="69" t="s">
        <v>185</v>
      </c>
      <c r="C37" s="70"/>
      <c r="D37" s="75">
        <f>'[1]WK Cashflow worksheet'!D97</f>
        <v>-5723226</v>
      </c>
      <c r="E37" s="70"/>
    </row>
    <row r="38" spans="1:5" ht="12.75">
      <c r="A38" s="68"/>
      <c r="B38" s="69" t="s">
        <v>180</v>
      </c>
      <c r="C38" s="70"/>
      <c r="D38" s="72">
        <f>'[1]WK Cashflow worksheet'!D98</f>
        <v>-3987611.4299999997</v>
      </c>
      <c r="E38" s="70"/>
    </row>
    <row r="39" spans="1:5" ht="13.5" thickBot="1">
      <c r="A39" s="68"/>
      <c r="B39" s="69" t="s">
        <v>187</v>
      </c>
      <c r="C39" s="70"/>
      <c r="D39" s="76">
        <f>SUM(D36:D38)</f>
        <v>-3987611.3099999996</v>
      </c>
      <c r="E39" s="70"/>
    </row>
    <row r="40" spans="1:5" ht="13.5" thickTop="1">
      <c r="A40" s="68"/>
      <c r="E40" s="70"/>
    </row>
    <row r="41" spans="1:5" ht="12.75">
      <c r="A41" s="68"/>
      <c r="B41" s="69"/>
      <c r="C41" s="70"/>
      <c r="D41" s="72"/>
      <c r="E41" s="70"/>
    </row>
    <row r="42" spans="1:5" ht="12.75">
      <c r="A42" s="68"/>
      <c r="B42" s="69"/>
      <c r="C42" s="70"/>
      <c r="D42" s="70"/>
      <c r="E42" s="70"/>
    </row>
    <row r="43" spans="1:5" ht="12.75">
      <c r="A43" s="68" t="s">
        <v>181</v>
      </c>
      <c r="B43" s="69" t="s">
        <v>182</v>
      </c>
      <c r="C43" s="70"/>
      <c r="D43" s="70"/>
      <c r="E43" s="70"/>
    </row>
    <row r="44" spans="1:5" ht="12.75">
      <c r="A44" s="68"/>
      <c r="B44" s="69"/>
      <c r="C44" s="70"/>
      <c r="D44" s="71" t="s">
        <v>220</v>
      </c>
      <c r="E44" s="71" t="s">
        <v>220</v>
      </c>
    </row>
    <row r="45" spans="1:5" ht="12.75">
      <c r="A45" s="68"/>
      <c r="B45" s="69"/>
      <c r="C45" s="70"/>
      <c r="D45" s="71" t="s">
        <v>211</v>
      </c>
      <c r="E45" s="71" t="s">
        <v>206</v>
      </c>
    </row>
    <row r="46" spans="1:5" ht="12.75">
      <c r="A46" s="68"/>
      <c r="B46" s="69"/>
      <c r="C46" s="70"/>
      <c r="D46" s="71" t="s">
        <v>3</v>
      </c>
      <c r="E46" s="71" t="s">
        <v>3</v>
      </c>
    </row>
    <row r="47" spans="1:5" ht="12.75">
      <c r="A47" s="68"/>
      <c r="B47" s="69" t="s">
        <v>71</v>
      </c>
      <c r="C47" s="70"/>
      <c r="D47" s="72">
        <v>917666.78</v>
      </c>
      <c r="E47" s="107">
        <v>1666801.45</v>
      </c>
    </row>
    <row r="48" spans="1:6" ht="12.75">
      <c r="A48" s="68"/>
      <c r="B48" s="69" t="s">
        <v>186</v>
      </c>
      <c r="C48" s="70"/>
      <c r="D48" s="75">
        <v>18088912.63</v>
      </c>
      <c r="E48" s="107">
        <v>16816243.86</v>
      </c>
      <c r="F48" s="9"/>
    </row>
    <row r="49" spans="1:6" ht="13.5" thickBot="1">
      <c r="A49" s="68"/>
      <c r="B49" s="69"/>
      <c r="C49" s="70"/>
      <c r="D49" s="93">
        <v>19006579.41</v>
      </c>
      <c r="E49" s="108">
        <v>18483045.31</v>
      </c>
      <c r="F49" s="9"/>
    </row>
    <row r="50" ht="13.5" thickTop="1"/>
    <row r="59" ht="12.75">
      <c r="A59" s="9" t="s">
        <v>138</v>
      </c>
    </row>
    <row r="60" ht="12.75">
      <c r="A60" s="9" t="s">
        <v>136</v>
      </c>
    </row>
  </sheetData>
  <sheetProtection/>
  <mergeCells count="1">
    <mergeCell ref="B27:E27"/>
  </mergeCells>
  <printOptions/>
  <pageMargins left="0.75" right="0.75" top="1" bottom="1" header="0.5" footer="0.5"/>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L103"/>
  <sheetViews>
    <sheetView zoomScale="80" zoomScaleNormal="80" zoomScalePageLayoutView="0" workbookViewId="0" topLeftCell="A1">
      <pane xSplit="1" ySplit="3" topLeftCell="B88"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3" customWidth="1"/>
    <col min="3" max="3" width="17.28125" style="3" customWidth="1"/>
    <col min="4" max="4" width="15.8515625" style="3" customWidth="1"/>
    <col min="5" max="5" width="15.00390625" style="0" customWidth="1"/>
    <col min="6" max="6" width="13.421875" style="3" bestFit="1" customWidth="1"/>
    <col min="7" max="7" width="16.28125" style="3" customWidth="1"/>
    <col min="8" max="8" width="13.00390625" style="0" bestFit="1" customWidth="1"/>
    <col min="9" max="9" width="9.421875" style="0" bestFit="1" customWidth="1"/>
    <col min="10" max="11" width="15.140625" style="0" bestFit="1" customWidth="1"/>
    <col min="13" max="13" width="12.00390625" style="0" customWidth="1"/>
  </cols>
  <sheetData>
    <row r="1" ht="15">
      <c r="A1" s="29" t="s">
        <v>0</v>
      </c>
    </row>
    <row r="2" spans="1:8" ht="15">
      <c r="A2" s="29" t="s">
        <v>58</v>
      </c>
      <c r="B2" s="30" t="s">
        <v>79</v>
      </c>
      <c r="C2" s="30" t="s">
        <v>79</v>
      </c>
      <c r="D2" s="3" t="s">
        <v>60</v>
      </c>
      <c r="E2" t="s">
        <v>75</v>
      </c>
      <c r="F2" s="3" t="s">
        <v>54</v>
      </c>
      <c r="G2" s="3" t="s">
        <v>83</v>
      </c>
      <c r="H2" s="3" t="s">
        <v>80</v>
      </c>
    </row>
    <row r="3" spans="2:11" ht="12.75">
      <c r="B3" s="3" t="s">
        <v>221</v>
      </c>
      <c r="C3" s="27" t="s">
        <v>59</v>
      </c>
      <c r="D3" s="3" t="s">
        <v>61</v>
      </c>
      <c r="E3" t="s">
        <v>33</v>
      </c>
      <c r="F3" s="3" t="s">
        <v>33</v>
      </c>
      <c r="G3" s="3" t="s">
        <v>33</v>
      </c>
      <c r="H3" s="3" t="s">
        <v>33</v>
      </c>
      <c r="K3" s="3" t="s">
        <v>61</v>
      </c>
    </row>
    <row r="4" spans="1:12" ht="12.75">
      <c r="A4" s="2" t="s">
        <v>10</v>
      </c>
      <c r="B4" s="60" t="e">
        <f>#REF!</f>
        <v>#REF!</v>
      </c>
      <c r="C4" s="60"/>
      <c r="D4" s="60" t="e">
        <f>B4-C4</f>
        <v>#REF!</v>
      </c>
      <c r="E4" s="95">
        <f>-D95</f>
        <v>-1304559.83</v>
      </c>
      <c r="F4" s="98" t="e">
        <f>-F62</f>
        <v>#REF!</v>
      </c>
      <c r="G4" s="60"/>
      <c r="H4" s="13"/>
      <c r="I4" s="13"/>
      <c r="J4" s="99" t="e">
        <f>SUM(D4:I4)</f>
        <v>#REF!</v>
      </c>
      <c r="K4" s="13" t="e">
        <f>J4</f>
        <v>#REF!</v>
      </c>
      <c r="L4" t="s">
        <v>196</v>
      </c>
    </row>
    <row r="5" spans="1:11" ht="12.75">
      <c r="A5" s="2" t="s">
        <v>5</v>
      </c>
      <c r="B5" s="60" t="e">
        <f>#REF!</f>
        <v>#REF!</v>
      </c>
      <c r="C5" s="60"/>
      <c r="D5" s="60"/>
      <c r="E5" s="13"/>
      <c r="F5" s="60"/>
      <c r="G5" s="60"/>
      <c r="H5" s="13"/>
      <c r="I5" s="13"/>
      <c r="J5" s="13"/>
      <c r="K5" s="13"/>
    </row>
    <row r="6" spans="1:11" ht="12.75">
      <c r="A6" s="2" t="s">
        <v>7</v>
      </c>
      <c r="B6" s="60" t="e">
        <f>#REF!</f>
        <v>#REF!</v>
      </c>
      <c r="C6" s="60"/>
      <c r="D6" s="60"/>
      <c r="E6" s="13"/>
      <c r="F6" s="60"/>
      <c r="G6" s="60"/>
      <c r="H6" s="13"/>
      <c r="I6" s="13"/>
      <c r="J6" s="13"/>
      <c r="K6" s="13"/>
    </row>
    <row r="7" spans="1:11" ht="12.75">
      <c r="A7" s="2" t="s">
        <v>209</v>
      </c>
      <c r="B7" s="60" t="e">
        <f>#REF!</f>
        <v>#REF!</v>
      </c>
      <c r="C7" s="60"/>
      <c r="D7" s="60" t="e">
        <f>B7-C7</f>
        <v>#REF!</v>
      </c>
      <c r="E7" s="13"/>
      <c r="F7" s="60"/>
      <c r="G7" s="60"/>
      <c r="H7" s="13"/>
      <c r="I7" s="13"/>
      <c r="J7" s="99" t="e">
        <f>SUM(D7:I7)</f>
        <v>#REF!</v>
      </c>
      <c r="K7" s="13" t="e">
        <f>J7</f>
        <v>#REF!</v>
      </c>
    </row>
    <row r="8" spans="1:11" ht="12.75">
      <c r="A8" s="2" t="s">
        <v>208</v>
      </c>
      <c r="B8" s="60" t="e">
        <f>+#REF!</f>
        <v>#REF!</v>
      </c>
      <c r="C8" s="60"/>
      <c r="D8" s="60" t="e">
        <f>B8-C8</f>
        <v>#REF!</v>
      </c>
      <c r="E8" s="13"/>
      <c r="F8" s="60"/>
      <c r="G8" s="60"/>
      <c r="H8" s="13"/>
      <c r="I8" s="13"/>
      <c r="J8" s="99" t="e">
        <f>SUM(D8:I8)</f>
        <v>#REF!</v>
      </c>
      <c r="K8" s="13" t="e">
        <f>J8</f>
        <v>#REF!</v>
      </c>
    </row>
    <row r="9" spans="1:11" ht="12.75">
      <c r="A9" s="2" t="s">
        <v>4</v>
      </c>
      <c r="B9" s="60" t="e">
        <f>#REF!</f>
        <v>#REF!</v>
      </c>
      <c r="C9" s="60"/>
      <c r="D9" s="60" t="e">
        <f>B9-C9</f>
        <v>#REF!</v>
      </c>
      <c r="E9" s="95">
        <f>-D101</f>
        <v>-1747390.8900000001</v>
      </c>
      <c r="F9" s="98" t="e">
        <f>-F64</f>
        <v>#REF!</v>
      </c>
      <c r="G9" s="60"/>
      <c r="H9" s="13"/>
      <c r="I9" s="13"/>
      <c r="J9" s="13" t="e">
        <f>SUM(D9:I9)</f>
        <v>#REF!</v>
      </c>
      <c r="K9" s="13" t="e">
        <f>J9+J64</f>
        <v>#REF!</v>
      </c>
    </row>
    <row r="10" spans="2:11" ht="12.75">
      <c r="B10" s="60" t="s">
        <v>34</v>
      </c>
      <c r="C10" s="60"/>
      <c r="D10" s="60"/>
      <c r="E10" s="13"/>
      <c r="F10" s="60"/>
      <c r="G10" s="60"/>
      <c r="H10" s="13"/>
      <c r="I10" s="13"/>
      <c r="J10" s="13"/>
      <c r="K10" s="13"/>
    </row>
    <row r="11" spans="1:11" ht="12.75">
      <c r="A11" s="2" t="s">
        <v>11</v>
      </c>
      <c r="B11" s="60" t="s">
        <v>34</v>
      </c>
      <c r="C11" s="60"/>
      <c r="D11" s="60"/>
      <c r="E11" s="13"/>
      <c r="F11" s="60"/>
      <c r="G11" s="60"/>
      <c r="H11" s="13"/>
      <c r="I11" s="13"/>
      <c r="J11" s="13"/>
      <c r="K11" s="13"/>
    </row>
    <row r="12" spans="1:11" ht="12.75">
      <c r="A12" t="s">
        <v>14</v>
      </c>
      <c r="B12" s="60" t="e">
        <f>#REF!</f>
        <v>#REF!</v>
      </c>
      <c r="C12" s="60"/>
      <c r="D12" s="60" t="e">
        <f aca="true" t="shared" si="0" ref="D12:D18">B12-C12</f>
        <v>#REF!</v>
      </c>
      <c r="E12" s="92">
        <f>-(2164370.15)</f>
        <v>-2164370.15</v>
      </c>
      <c r="F12" s="60"/>
      <c r="G12" s="60"/>
      <c r="H12" s="13"/>
      <c r="I12" s="13"/>
      <c r="J12" s="97" t="e">
        <f aca="true" t="shared" si="1" ref="J12:J18">SUM(D12:I12)</f>
        <v>#REF!</v>
      </c>
      <c r="K12" s="13"/>
    </row>
    <row r="13" spans="1:12" ht="12.75">
      <c r="A13" t="s">
        <v>12</v>
      </c>
      <c r="B13" s="60" t="e">
        <f>#REF!</f>
        <v>#REF!</v>
      </c>
      <c r="C13" s="60"/>
      <c r="D13" s="60" t="e">
        <f t="shared" si="0"/>
        <v>#REF!</v>
      </c>
      <c r="E13" s="83">
        <f>-D93</f>
        <v>-586605.15</v>
      </c>
      <c r="F13" s="60"/>
      <c r="G13" s="60" t="e">
        <f>-G47</f>
        <v>#REF!</v>
      </c>
      <c r="H13" s="13"/>
      <c r="I13" s="13"/>
      <c r="J13" s="97" t="e">
        <f t="shared" si="1"/>
        <v>#REF!</v>
      </c>
      <c r="K13" s="97" t="e">
        <f>J13+J14+J66+J74+J12</f>
        <v>#REF!</v>
      </c>
      <c r="L13" t="s">
        <v>197</v>
      </c>
    </row>
    <row r="14" spans="1:11" ht="12.75">
      <c r="A14" t="s">
        <v>27</v>
      </c>
      <c r="B14" s="60" t="e">
        <f>#REF!</f>
        <v>#REF!</v>
      </c>
      <c r="C14" s="60">
        <v>947104</v>
      </c>
      <c r="D14" s="60" t="e">
        <f t="shared" si="0"/>
        <v>#REF!</v>
      </c>
      <c r="E14" s="83">
        <f>-D94-E12</f>
        <v>-578263.5</v>
      </c>
      <c r="F14" s="60"/>
      <c r="G14" s="60"/>
      <c r="H14" s="13"/>
      <c r="I14" s="13"/>
      <c r="J14" s="97" t="e">
        <f t="shared" si="1"/>
        <v>#REF!</v>
      </c>
      <c r="K14" s="13"/>
    </row>
    <row r="15" spans="1:12" ht="12.75">
      <c r="A15" s="28" t="s">
        <v>77</v>
      </c>
      <c r="B15" s="60" t="e">
        <f>#REF!</f>
        <v>#REF!</v>
      </c>
      <c r="C15" s="60"/>
      <c r="D15" s="60" t="e">
        <f t="shared" si="0"/>
        <v>#REF!</v>
      </c>
      <c r="E15" s="83">
        <f>-D92</f>
        <v>-3987611.4299999997</v>
      </c>
      <c r="F15" s="60"/>
      <c r="G15" s="60"/>
      <c r="H15" s="13"/>
      <c r="I15" s="13"/>
      <c r="J15" s="13" t="e">
        <f t="shared" si="1"/>
        <v>#REF!</v>
      </c>
      <c r="K15" s="13">
        <f>-SUM(C15:C17)</f>
        <v>-46470</v>
      </c>
      <c r="L15" t="s">
        <v>86</v>
      </c>
    </row>
    <row r="16" spans="1:12" ht="12.75">
      <c r="A16" s="28" t="s">
        <v>28</v>
      </c>
      <c r="B16" s="60" t="e">
        <f>#REF!</f>
        <v>#REF!</v>
      </c>
      <c r="C16" s="60"/>
      <c r="D16" s="60" t="e">
        <f t="shared" si="0"/>
        <v>#REF!</v>
      </c>
      <c r="E16" s="13"/>
      <c r="F16" s="60"/>
      <c r="G16" s="60"/>
      <c r="H16" s="13"/>
      <c r="I16" s="13"/>
      <c r="J16" s="13" t="e">
        <f t="shared" si="1"/>
        <v>#REF!</v>
      </c>
      <c r="K16" s="13"/>
      <c r="L16" t="s">
        <v>34</v>
      </c>
    </row>
    <row r="17" spans="1:12" ht="12.75">
      <c r="A17" s="28" t="s">
        <v>13</v>
      </c>
      <c r="B17" s="60" t="e">
        <f>#REF!</f>
        <v>#REF!</v>
      </c>
      <c r="C17" s="60">
        <v>46470</v>
      </c>
      <c r="D17" s="60" t="e">
        <f t="shared" si="0"/>
        <v>#REF!</v>
      </c>
      <c r="E17" s="13"/>
      <c r="F17" s="60"/>
      <c r="G17" s="60"/>
      <c r="H17" s="13"/>
      <c r="I17" s="13"/>
      <c r="J17" s="13" t="e">
        <f t="shared" si="1"/>
        <v>#REF!</v>
      </c>
      <c r="K17" s="49" t="e">
        <f>SUM(B15:B17)</f>
        <v>#REF!</v>
      </c>
      <c r="L17" t="s">
        <v>87</v>
      </c>
    </row>
    <row r="18" spans="1:11" ht="12.75">
      <c r="A18" t="s">
        <v>32</v>
      </c>
      <c r="B18" s="60">
        <v>0</v>
      </c>
      <c r="C18" s="60"/>
      <c r="D18" s="60">
        <f t="shared" si="0"/>
        <v>0</v>
      </c>
      <c r="E18" s="13"/>
      <c r="F18" s="60"/>
      <c r="G18" s="60"/>
      <c r="H18" s="13"/>
      <c r="I18" s="13"/>
      <c r="J18" s="13">
        <f t="shared" si="1"/>
        <v>0</v>
      </c>
      <c r="K18" s="13"/>
    </row>
    <row r="19" spans="2:11" ht="12.75">
      <c r="B19" s="60" t="s">
        <v>34</v>
      </c>
      <c r="C19" s="60"/>
      <c r="D19" s="60"/>
      <c r="E19" s="13"/>
      <c r="F19" s="60"/>
      <c r="G19" s="60"/>
      <c r="H19" s="13"/>
      <c r="I19" s="13"/>
      <c r="J19" s="13"/>
      <c r="K19" s="13"/>
    </row>
    <row r="20" spans="2:11" ht="12.75">
      <c r="B20" s="60" t="s">
        <v>34</v>
      </c>
      <c r="C20" s="60"/>
      <c r="D20" s="60"/>
      <c r="E20" s="13"/>
      <c r="F20" s="60"/>
      <c r="G20" s="60"/>
      <c r="H20" s="13"/>
      <c r="I20" s="13"/>
      <c r="J20" s="13"/>
      <c r="K20" s="13"/>
    </row>
    <row r="21" spans="1:11" ht="12.75">
      <c r="A21" s="2" t="s">
        <v>15</v>
      </c>
      <c r="B21" s="60" t="s">
        <v>34</v>
      </c>
      <c r="C21" s="60"/>
      <c r="D21" s="60"/>
      <c r="E21" s="13"/>
      <c r="F21" s="60"/>
      <c r="G21" s="60"/>
      <c r="H21" s="13"/>
      <c r="I21" s="13"/>
      <c r="J21" s="13"/>
      <c r="K21" s="13"/>
    </row>
    <row r="22" spans="1:12" ht="12.75">
      <c r="A22" t="s">
        <v>16</v>
      </c>
      <c r="B22" s="60" t="e">
        <f>#REF!</f>
        <v>#REF!</v>
      </c>
      <c r="C22" s="60"/>
      <c r="D22" s="60" t="e">
        <f>C22-B22</f>
        <v>#REF!</v>
      </c>
      <c r="E22" s="83">
        <f>-D96</f>
        <v>357089.36</v>
      </c>
      <c r="F22" s="60"/>
      <c r="G22" s="60" t="e">
        <f>-G49</f>
        <v>#REF!</v>
      </c>
      <c r="H22" s="13"/>
      <c r="I22" s="13"/>
      <c r="J22" s="100" t="e">
        <f>SUM(D22:I22)</f>
        <v>#REF!</v>
      </c>
      <c r="K22" s="101" t="e">
        <f>+J22+J23+J24+J42+J25+J26</f>
        <v>#REF!</v>
      </c>
      <c r="L22" t="s">
        <v>84</v>
      </c>
    </row>
    <row r="23" spans="1:11" ht="12.75">
      <c r="A23" t="s">
        <v>17</v>
      </c>
      <c r="B23" s="60" t="e">
        <f>#REF!</f>
        <v>#REF!</v>
      </c>
      <c r="C23" s="60">
        <v>23659</v>
      </c>
      <c r="D23" s="60" t="e">
        <f>C23-B23</f>
        <v>#REF!</v>
      </c>
      <c r="E23" s="83">
        <f>-D97-E24-E25</f>
        <v>1173723</v>
      </c>
      <c r="F23" s="60"/>
      <c r="G23" s="60" t="e">
        <f>-G55-G53</f>
        <v>#REF!</v>
      </c>
      <c r="H23" s="13"/>
      <c r="I23" s="13"/>
      <c r="J23" s="100" t="e">
        <f>SUM(D23:I23)</f>
        <v>#REF!</v>
      </c>
      <c r="K23" s="13"/>
    </row>
    <row r="24" spans="1:11" ht="12.75">
      <c r="A24" t="s">
        <v>18</v>
      </c>
      <c r="B24" s="60" t="e">
        <f>#REF!</f>
        <v>#REF!</v>
      </c>
      <c r="C24" s="60"/>
      <c r="D24" s="60" t="e">
        <f>C24-B24</f>
        <v>#REF!</v>
      </c>
      <c r="E24" s="92">
        <v>-15238.13</v>
      </c>
      <c r="F24" s="60"/>
      <c r="G24" s="60"/>
      <c r="H24" s="13" t="e">
        <f>-H70</f>
        <v>#REF!</v>
      </c>
      <c r="I24" s="13"/>
      <c r="J24" s="100" t="e">
        <f>SUM(D24:I24)</f>
        <v>#REF!</v>
      </c>
      <c r="K24" s="13"/>
    </row>
    <row r="25" spans="1:11" ht="12.75">
      <c r="A25" t="s">
        <v>193</v>
      </c>
      <c r="B25" s="60" t="e">
        <f>#REF!</f>
        <v>#REF!</v>
      </c>
      <c r="C25" s="60"/>
      <c r="D25" s="60" t="e">
        <f>C25-B25</f>
        <v>#REF!</v>
      </c>
      <c r="E25" s="60">
        <v>3130000</v>
      </c>
      <c r="F25" s="60"/>
      <c r="G25" s="60"/>
      <c r="H25" s="13"/>
      <c r="I25" s="13"/>
      <c r="J25" s="100" t="e">
        <f>SUM(D25:I25)</f>
        <v>#REF!</v>
      </c>
      <c r="K25" s="13"/>
    </row>
    <row r="26" spans="1:11" ht="12.75">
      <c r="A26" t="s">
        <v>216</v>
      </c>
      <c r="B26" s="60" t="e">
        <f>+#REF!</f>
        <v>#REF!</v>
      </c>
      <c r="C26" s="60"/>
      <c r="D26" s="60" t="e">
        <f>C26-B26</f>
        <v>#REF!</v>
      </c>
      <c r="E26" s="13"/>
      <c r="F26" s="60"/>
      <c r="G26" s="60"/>
      <c r="H26" s="13"/>
      <c r="I26" s="13"/>
      <c r="J26" s="100" t="e">
        <f>SUM(D26:I26)</f>
        <v>#REF!</v>
      </c>
      <c r="K26" s="13"/>
    </row>
    <row r="27" spans="2:11" ht="12.75">
      <c r="B27" s="60" t="s">
        <v>34</v>
      </c>
      <c r="C27" s="60"/>
      <c r="D27" s="60"/>
      <c r="E27" s="13"/>
      <c r="F27" s="60"/>
      <c r="G27" s="60"/>
      <c r="H27" s="13"/>
      <c r="I27" s="13"/>
      <c r="J27" s="13"/>
      <c r="K27" s="13"/>
    </row>
    <row r="28" spans="2:11" ht="12.75">
      <c r="B28" s="60" t="s">
        <v>34</v>
      </c>
      <c r="C28" s="60"/>
      <c r="D28" s="60"/>
      <c r="E28" s="13"/>
      <c r="F28" s="60"/>
      <c r="G28" s="60"/>
      <c r="H28" s="13"/>
      <c r="I28" s="13"/>
      <c r="J28" s="13"/>
      <c r="K28" s="13"/>
    </row>
    <row r="29" spans="1:11" ht="12.75">
      <c r="A29" s="2" t="s">
        <v>19</v>
      </c>
      <c r="B29" s="60" t="s">
        <v>34</v>
      </c>
      <c r="C29" s="60"/>
      <c r="D29" s="60"/>
      <c r="E29" s="13"/>
      <c r="F29" s="60"/>
      <c r="G29" s="60"/>
      <c r="H29" s="13"/>
      <c r="I29" s="13"/>
      <c r="J29" s="13"/>
      <c r="K29" s="13"/>
    </row>
    <row r="30" spans="2:11" ht="12.75">
      <c r="B30" s="60" t="s">
        <v>34</v>
      </c>
      <c r="C30" s="60"/>
      <c r="D30" s="60"/>
      <c r="E30" s="13"/>
      <c r="F30" s="60"/>
      <c r="G30" s="60"/>
      <c r="H30" s="13"/>
      <c r="I30" s="13"/>
      <c r="J30" s="13"/>
      <c r="K30" s="13"/>
    </row>
    <row r="31" spans="2:11" ht="12.75">
      <c r="B31" s="60" t="s">
        <v>34</v>
      </c>
      <c r="C31" s="60"/>
      <c r="D31" s="60"/>
      <c r="E31" s="13"/>
      <c r="F31" s="60"/>
      <c r="G31" s="60"/>
      <c r="H31" s="13"/>
      <c r="I31" s="13"/>
      <c r="J31" s="13"/>
      <c r="K31" s="13"/>
    </row>
    <row r="32" spans="2:11" ht="12.75">
      <c r="B32" s="60" t="s">
        <v>34</v>
      </c>
      <c r="C32" s="60"/>
      <c r="D32" s="60"/>
      <c r="E32" s="13"/>
      <c r="F32" s="60"/>
      <c r="G32" s="60"/>
      <c r="H32" s="13"/>
      <c r="I32" s="13"/>
      <c r="J32" s="13"/>
      <c r="K32" s="13"/>
    </row>
    <row r="33" spans="1:11" ht="12.75">
      <c r="A33" s="2" t="s">
        <v>20</v>
      </c>
      <c r="B33" s="60" t="s">
        <v>34</v>
      </c>
      <c r="C33" s="60"/>
      <c r="D33" s="60"/>
      <c r="E33" s="13"/>
      <c r="F33" s="60"/>
      <c r="G33" s="60"/>
      <c r="H33" s="13"/>
      <c r="I33" s="13"/>
      <c r="J33" s="13"/>
      <c r="K33" s="13"/>
    </row>
    <row r="34" spans="2:11" ht="12.75">
      <c r="B34" s="60" t="s">
        <v>34</v>
      </c>
      <c r="C34" s="60"/>
      <c r="D34" s="60"/>
      <c r="E34" s="13"/>
      <c r="F34" s="60"/>
      <c r="G34" s="60"/>
      <c r="H34" s="13"/>
      <c r="I34" s="13"/>
      <c r="J34" s="13"/>
      <c r="K34" s="13"/>
    </row>
    <row r="35" spans="1:11" ht="12.75">
      <c r="A35" s="2" t="s">
        <v>21</v>
      </c>
      <c r="B35" s="60" t="e">
        <f>#REF!</f>
        <v>#REF!</v>
      </c>
      <c r="C35" s="60">
        <v>1000000</v>
      </c>
      <c r="D35" s="60" t="e">
        <f>C35-B35</f>
        <v>#REF!</v>
      </c>
      <c r="E35" s="83">
        <f>-D99</f>
        <v>5723226</v>
      </c>
      <c r="F35" s="60"/>
      <c r="G35" s="60"/>
      <c r="H35" s="13"/>
      <c r="I35" s="13"/>
      <c r="J35" s="13" t="e">
        <f>SUM(D35:I35)</f>
        <v>#REF!</v>
      </c>
      <c r="K35" s="13"/>
    </row>
    <row r="36" spans="1:12" ht="12.75">
      <c r="A36" s="2" t="s">
        <v>22</v>
      </c>
      <c r="B36" s="60" t="e">
        <f>#REF!</f>
        <v>#REF!</v>
      </c>
      <c r="C36" s="60"/>
      <c r="D36" s="60" t="e">
        <f>C36-B36</f>
        <v>#REF!</v>
      </c>
      <c r="E36" s="13"/>
      <c r="F36" s="60"/>
      <c r="G36" s="60"/>
      <c r="H36" s="13"/>
      <c r="I36" s="13"/>
      <c r="J36" s="13" t="e">
        <f>SUM(D36:I36)</f>
        <v>#REF!</v>
      </c>
      <c r="K36" s="13" t="e">
        <f>J35+J36</f>
        <v>#REF!</v>
      </c>
      <c r="L36" t="s">
        <v>195</v>
      </c>
    </row>
    <row r="37" spans="1:12" ht="12.75">
      <c r="A37" s="2" t="s">
        <v>29</v>
      </c>
      <c r="B37" s="60" t="e">
        <f>#REF!</f>
        <v>#REF!</v>
      </c>
      <c r="C37" s="60">
        <v>-30085</v>
      </c>
      <c r="D37" s="60"/>
      <c r="E37" s="13"/>
      <c r="F37" s="60"/>
      <c r="G37" s="60"/>
      <c r="H37" s="13"/>
      <c r="I37" s="13"/>
      <c r="J37" s="13">
        <f>SUM(D37:I37)</f>
        <v>0</v>
      </c>
      <c r="K37" s="13"/>
      <c r="L37" t="s">
        <v>199</v>
      </c>
    </row>
    <row r="38" spans="1:11" ht="12.75">
      <c r="A38" s="2"/>
      <c r="B38" s="60" t="s">
        <v>34</v>
      </c>
      <c r="C38" s="60"/>
      <c r="D38" s="60"/>
      <c r="E38" s="13"/>
      <c r="F38" s="60"/>
      <c r="G38" s="60"/>
      <c r="H38" s="13"/>
      <c r="I38" s="13"/>
      <c r="J38" s="13"/>
      <c r="K38" s="13"/>
    </row>
    <row r="39" spans="1:11" ht="12.75">
      <c r="A39" s="2" t="s">
        <v>23</v>
      </c>
      <c r="B39" s="60" t="s">
        <v>34</v>
      </c>
      <c r="C39" s="60"/>
      <c r="D39" s="60"/>
      <c r="E39" s="13"/>
      <c r="F39" s="60"/>
      <c r="G39" s="60"/>
      <c r="H39" s="13"/>
      <c r="I39" s="13"/>
      <c r="J39" s="13"/>
      <c r="K39" s="13"/>
    </row>
    <row r="40" spans="1:11" ht="12.75">
      <c r="A40" s="9"/>
      <c r="B40" s="60" t="s">
        <v>34</v>
      </c>
      <c r="C40" s="60"/>
      <c r="D40" s="60"/>
      <c r="E40" s="13"/>
      <c r="F40" s="60"/>
      <c r="G40" s="60"/>
      <c r="H40" s="13"/>
      <c r="I40" s="13"/>
      <c r="J40" s="13"/>
      <c r="K40" s="13"/>
    </row>
    <row r="41" spans="1:11" ht="12.75">
      <c r="A41" s="2" t="s">
        <v>30</v>
      </c>
      <c r="B41" s="60" t="s">
        <v>34</v>
      </c>
      <c r="C41" s="60"/>
      <c r="D41" s="60"/>
      <c r="E41" s="13"/>
      <c r="F41" s="60"/>
      <c r="G41" s="60"/>
      <c r="H41" s="13"/>
      <c r="I41" s="13"/>
      <c r="J41" s="13"/>
      <c r="K41" s="13"/>
    </row>
    <row r="42" spans="1:11" ht="12.75">
      <c r="A42" s="9" t="s">
        <v>31</v>
      </c>
      <c r="B42" s="60" t="e">
        <f>#REF!</f>
        <v>#REF!</v>
      </c>
      <c r="C42" s="60"/>
      <c r="D42" s="60" t="e">
        <f>C42-B42</f>
        <v>#REF!</v>
      </c>
      <c r="E42" s="13"/>
      <c r="F42" s="60"/>
      <c r="G42" s="60"/>
      <c r="H42" s="13"/>
      <c r="I42" s="13"/>
      <c r="J42" s="100" t="e">
        <f>SUM(D42:I42)</f>
        <v>#REF!</v>
      </c>
      <c r="K42" s="13"/>
    </row>
    <row r="43" spans="1:11" ht="12.75">
      <c r="A43" s="9"/>
      <c r="B43" s="60"/>
      <c r="C43" s="60"/>
      <c r="D43" s="60"/>
      <c r="E43" s="13"/>
      <c r="F43" s="60"/>
      <c r="G43" s="60"/>
      <c r="H43" s="13"/>
      <c r="I43" s="13"/>
      <c r="J43" s="13"/>
      <c r="K43" s="13"/>
    </row>
    <row r="44" spans="1:11" ht="12.75">
      <c r="A44" s="9"/>
      <c r="B44" s="102" t="e">
        <f>SUM(B4:B18)</f>
        <v>#REF!</v>
      </c>
      <c r="C44" s="102">
        <f>SUM(C4:C18)</f>
        <v>993574</v>
      </c>
      <c r="D44" s="96"/>
      <c r="E44" s="13"/>
      <c r="F44" s="60"/>
      <c r="G44" s="60"/>
      <c r="H44" s="13"/>
      <c r="I44" s="13"/>
      <c r="J44" s="13"/>
      <c r="K44" s="13"/>
    </row>
    <row r="45" spans="2:11" ht="13.5" thickBot="1">
      <c r="B45" s="94" t="e">
        <f>SUM(B22:B42)</f>
        <v>#REF!</v>
      </c>
      <c r="C45" s="94">
        <f>SUM(C22:C42)</f>
        <v>993574</v>
      </c>
      <c r="D45" s="96"/>
      <c r="E45" s="13"/>
      <c r="F45" s="60"/>
      <c r="G45" s="60"/>
      <c r="H45" s="13"/>
      <c r="I45" s="13"/>
      <c r="J45" s="13"/>
      <c r="K45" s="13"/>
    </row>
    <row r="46" spans="2:11" ht="13.5" thickTop="1">
      <c r="B46" s="96"/>
      <c r="C46" s="96"/>
      <c r="D46" s="60"/>
      <c r="E46" s="13"/>
      <c r="F46" s="60"/>
      <c r="G46" s="60"/>
      <c r="H46" s="13"/>
      <c r="I46" s="13"/>
      <c r="J46" s="13"/>
      <c r="K46" s="13"/>
    </row>
    <row r="47" spans="1:11" ht="12.75">
      <c r="A47" s="9" t="s">
        <v>35</v>
      </c>
      <c r="B47" s="96"/>
      <c r="C47" s="96"/>
      <c r="D47" s="96" t="e">
        <f>-#REF!</f>
        <v>#REF!</v>
      </c>
      <c r="E47" s="13" t="s">
        <v>34</v>
      </c>
      <c r="F47" s="60"/>
      <c r="G47" s="60" t="e">
        <f>-D47</f>
        <v>#REF!</v>
      </c>
      <c r="H47" s="13"/>
      <c r="I47" s="13"/>
      <c r="J47" s="13" t="e">
        <f>SUM(D47:I47)</f>
        <v>#REF!</v>
      </c>
      <c r="K47" s="13"/>
    </row>
    <row r="48" spans="1:11" ht="12.75">
      <c r="A48" s="9"/>
      <c r="B48" s="96"/>
      <c r="C48" s="96"/>
      <c r="D48" s="96" t="e">
        <f>#REF!</f>
        <v>#REF!</v>
      </c>
      <c r="E48" s="13"/>
      <c r="F48" s="60"/>
      <c r="G48" s="60"/>
      <c r="H48" s="13"/>
      <c r="I48" s="13"/>
      <c r="J48" s="13"/>
      <c r="K48" s="13"/>
    </row>
    <row r="49" spans="1:11" ht="12.75">
      <c r="A49" s="9" t="s">
        <v>36</v>
      </c>
      <c r="B49" s="96"/>
      <c r="C49" s="96"/>
      <c r="D49" s="96" t="e">
        <f>-#REF!</f>
        <v>#REF!</v>
      </c>
      <c r="E49" s="13"/>
      <c r="F49" s="60"/>
      <c r="G49" s="60" t="e">
        <f>-D49</f>
        <v>#REF!</v>
      </c>
      <c r="H49" s="13"/>
      <c r="I49" s="13"/>
      <c r="J49" s="13" t="e">
        <f>SUM(D49:I49)</f>
        <v>#REF!</v>
      </c>
      <c r="K49" s="13"/>
    </row>
    <row r="50" spans="1:11" ht="12.75">
      <c r="A50" s="9"/>
      <c r="B50" s="96"/>
      <c r="C50" s="96"/>
      <c r="D50" s="96" t="s">
        <v>34</v>
      </c>
      <c r="E50" s="13"/>
      <c r="F50" s="60"/>
      <c r="G50" s="60"/>
      <c r="H50" s="13"/>
      <c r="I50" s="13"/>
      <c r="J50" s="13"/>
      <c r="K50" s="13"/>
    </row>
    <row r="51" spans="1:11" ht="12.75">
      <c r="A51" s="9" t="s">
        <v>37</v>
      </c>
      <c r="B51" s="96"/>
      <c r="C51" s="96"/>
      <c r="D51" s="96" t="s">
        <v>34</v>
      </c>
      <c r="E51" s="13"/>
      <c r="F51" s="60"/>
      <c r="G51" s="60"/>
      <c r="H51" s="13"/>
      <c r="I51" s="13"/>
      <c r="J51" s="13"/>
      <c r="K51" s="13"/>
    </row>
    <row r="52" spans="1:11" ht="12.75">
      <c r="A52" s="9"/>
      <c r="B52" s="96"/>
      <c r="C52" s="96"/>
      <c r="D52" s="96" t="s">
        <v>34</v>
      </c>
      <c r="E52" s="13"/>
      <c r="F52" s="60"/>
      <c r="G52" s="60"/>
      <c r="H52" s="13"/>
      <c r="I52" s="13"/>
      <c r="J52" s="13"/>
      <c r="K52" s="13"/>
    </row>
    <row r="53" spans="1:11" ht="12.75">
      <c r="A53" s="9" t="s">
        <v>218</v>
      </c>
      <c r="B53" s="96"/>
      <c r="C53" s="96"/>
      <c r="D53" s="96" t="e">
        <f>-#REF!</f>
        <v>#REF!</v>
      </c>
      <c r="E53" s="13"/>
      <c r="F53" s="60"/>
      <c r="G53" s="60" t="e">
        <f>-D53</f>
        <v>#REF!</v>
      </c>
      <c r="H53" s="13"/>
      <c r="I53" s="13"/>
      <c r="J53" s="13"/>
      <c r="K53" s="13"/>
    </row>
    <row r="54" spans="1:11" ht="12.75">
      <c r="A54" s="9"/>
      <c r="B54" s="96"/>
      <c r="C54" s="96"/>
      <c r="D54" s="96"/>
      <c r="E54" s="13"/>
      <c r="F54" s="60"/>
      <c r="G54" s="60"/>
      <c r="H54" s="13"/>
      <c r="I54" s="13"/>
      <c r="J54" s="13"/>
      <c r="K54" s="13"/>
    </row>
    <row r="55" spans="1:11" ht="12.75">
      <c r="A55" s="9" t="s">
        <v>38</v>
      </c>
      <c r="B55" s="96"/>
      <c r="C55" s="96"/>
      <c r="D55" s="96" t="e">
        <f>-#REF!</f>
        <v>#REF!</v>
      </c>
      <c r="E55" s="13"/>
      <c r="F55" s="60"/>
      <c r="G55" s="60" t="e">
        <f>-D55</f>
        <v>#REF!</v>
      </c>
      <c r="H55" s="13"/>
      <c r="I55" s="13"/>
      <c r="J55" s="13" t="e">
        <f>SUM(D55:I55)</f>
        <v>#REF!</v>
      </c>
      <c r="K55" s="13"/>
    </row>
    <row r="56" spans="1:11" ht="12.75">
      <c r="A56" s="9"/>
      <c r="B56" s="96"/>
      <c r="C56" s="96"/>
      <c r="D56" s="96" t="s">
        <v>34</v>
      </c>
      <c r="E56" s="13"/>
      <c r="F56" s="60"/>
      <c r="G56" s="60"/>
      <c r="H56" s="13"/>
      <c r="I56" s="13"/>
      <c r="J56" s="13"/>
      <c r="K56" s="13"/>
    </row>
    <row r="57" spans="1:11" ht="12.75">
      <c r="A57" s="9" t="s">
        <v>39</v>
      </c>
      <c r="B57" s="96"/>
      <c r="C57" s="96"/>
      <c r="D57" s="96" t="s">
        <v>34</v>
      </c>
      <c r="E57" s="13"/>
      <c r="F57" s="60"/>
      <c r="G57" s="60"/>
      <c r="H57" s="13"/>
      <c r="I57" s="13"/>
      <c r="J57" s="13"/>
      <c r="K57" s="13"/>
    </row>
    <row r="58" spans="1:11" ht="12.75">
      <c r="A58" s="9" t="s">
        <v>40</v>
      </c>
      <c r="B58" s="96"/>
      <c r="C58" s="96"/>
      <c r="D58" s="96" t="s">
        <v>34</v>
      </c>
      <c r="E58" s="13"/>
      <c r="F58" s="60"/>
      <c r="G58" s="60"/>
      <c r="H58" s="13"/>
      <c r="I58" s="13"/>
      <c r="J58" s="13"/>
      <c r="K58" s="13"/>
    </row>
    <row r="59" spans="1:11" ht="12.75">
      <c r="A59" s="15"/>
      <c r="B59" s="96"/>
      <c r="C59" s="96"/>
      <c r="D59" s="96" t="e">
        <f>#REF!</f>
        <v>#REF!</v>
      </c>
      <c r="E59" s="13"/>
      <c r="F59" s="60"/>
      <c r="G59" s="60"/>
      <c r="H59" s="13"/>
      <c r="I59" s="13"/>
      <c r="J59" s="13"/>
      <c r="K59" s="13"/>
    </row>
    <row r="60" spans="1:11" ht="12.75">
      <c r="A60" s="9" t="s">
        <v>41</v>
      </c>
      <c r="B60" s="96"/>
      <c r="C60" s="96"/>
      <c r="D60" s="96" t="s">
        <v>34</v>
      </c>
      <c r="E60" s="13"/>
      <c r="F60" s="60"/>
      <c r="G60" s="60"/>
      <c r="H60" s="13"/>
      <c r="I60" s="13"/>
      <c r="J60" s="13"/>
      <c r="K60" s="13"/>
    </row>
    <row r="61" spans="1:11" ht="12.75">
      <c r="A61" s="9"/>
      <c r="B61" s="96"/>
      <c r="C61" s="96"/>
      <c r="D61" s="96" t="e">
        <f>#REF!</f>
        <v>#REF!</v>
      </c>
      <c r="E61" s="13"/>
      <c r="F61" s="60"/>
      <c r="G61" s="60"/>
      <c r="H61" s="13"/>
      <c r="I61" s="13"/>
      <c r="J61" s="13"/>
      <c r="K61" s="13"/>
    </row>
    <row r="62" spans="1:11" ht="12.75">
      <c r="A62" s="9" t="s">
        <v>42</v>
      </c>
      <c r="B62" s="96"/>
      <c r="C62" s="96"/>
      <c r="D62" s="96" t="e">
        <f>-#REF!</f>
        <v>#REF!</v>
      </c>
      <c r="E62" s="13"/>
      <c r="F62" s="60" t="e">
        <f>-D62</f>
        <v>#REF!</v>
      </c>
      <c r="G62" s="60"/>
      <c r="H62" s="13"/>
      <c r="I62" s="13"/>
      <c r="J62" s="13" t="e">
        <f>SUM(D62:I62)</f>
        <v>#REF!</v>
      </c>
      <c r="K62" s="13" t="e">
        <f>J62</f>
        <v>#REF!</v>
      </c>
    </row>
    <row r="63" spans="1:11" ht="12.75">
      <c r="A63" s="9"/>
      <c r="B63" s="96"/>
      <c r="C63" s="96"/>
      <c r="D63" s="96" t="s">
        <v>34</v>
      </c>
      <c r="E63" s="13"/>
      <c r="F63" s="60"/>
      <c r="G63" s="60"/>
      <c r="H63" s="13"/>
      <c r="I63" s="13"/>
      <c r="J63" s="13"/>
      <c r="K63" s="13"/>
    </row>
    <row r="64" spans="1:11" ht="12.75">
      <c r="A64" s="9" t="s">
        <v>57</v>
      </c>
      <c r="B64" s="96"/>
      <c r="C64" s="96"/>
      <c r="D64" s="96" t="e">
        <f>-#REF!</f>
        <v>#REF!</v>
      </c>
      <c r="E64" s="13"/>
      <c r="F64" s="60" t="e">
        <f>-D64</f>
        <v>#REF!</v>
      </c>
      <c r="G64" s="60"/>
      <c r="H64" s="13"/>
      <c r="I64" s="13"/>
      <c r="J64" s="13" t="e">
        <f>SUM(D64:I64)</f>
        <v>#REF!</v>
      </c>
      <c r="K64" s="13"/>
    </row>
    <row r="65" spans="1:11" ht="12.75">
      <c r="A65" s="9"/>
      <c r="B65" s="96"/>
      <c r="C65" s="96"/>
      <c r="D65" s="96" t="s">
        <v>34</v>
      </c>
      <c r="E65" s="13"/>
      <c r="F65" s="60"/>
      <c r="G65" s="60"/>
      <c r="H65" s="13"/>
      <c r="I65" s="13"/>
      <c r="J65" s="13"/>
      <c r="K65" s="13"/>
    </row>
    <row r="66" spans="1:11" ht="12.75">
      <c r="A66" s="9" t="s">
        <v>43</v>
      </c>
      <c r="B66" s="96"/>
      <c r="C66" s="96"/>
      <c r="D66" s="96" t="e">
        <f>-#REF!</f>
        <v>#REF!</v>
      </c>
      <c r="E66" s="13"/>
      <c r="F66" s="60"/>
      <c r="G66" s="60"/>
      <c r="H66" s="13"/>
      <c r="I66" s="13"/>
      <c r="J66" s="97" t="e">
        <f>SUM(D66:I66)</f>
        <v>#REF!</v>
      </c>
      <c r="K66" s="13">
        <v>0</v>
      </c>
    </row>
    <row r="67" spans="1:11" ht="12.75">
      <c r="A67" s="16"/>
      <c r="B67" s="96"/>
      <c r="C67" s="96"/>
      <c r="D67" s="96" t="s">
        <v>34</v>
      </c>
      <c r="E67" s="13"/>
      <c r="F67" s="60"/>
      <c r="G67" s="60"/>
      <c r="H67" s="13"/>
      <c r="I67" s="13"/>
      <c r="J67" s="13"/>
      <c r="K67" s="13"/>
    </row>
    <row r="68" spans="1:11" ht="12.75">
      <c r="A68" s="18" t="s">
        <v>44</v>
      </c>
      <c r="B68" s="96"/>
      <c r="C68" s="96"/>
      <c r="D68" s="96" t="s">
        <v>34</v>
      </c>
      <c r="E68" s="13"/>
      <c r="F68" s="60"/>
      <c r="G68" s="60"/>
      <c r="H68" s="13"/>
      <c r="I68" s="13"/>
      <c r="J68" s="13"/>
      <c r="K68" s="13"/>
    </row>
    <row r="69" spans="1:11" ht="12.75">
      <c r="A69" s="9"/>
      <c r="B69" s="96"/>
      <c r="C69" s="96"/>
      <c r="D69" s="96" t="s">
        <v>34</v>
      </c>
      <c r="E69" s="13"/>
      <c r="F69" s="60"/>
      <c r="G69" s="60"/>
      <c r="H69" s="13"/>
      <c r="I69" s="13"/>
      <c r="J69" s="13"/>
      <c r="K69" s="13"/>
    </row>
    <row r="70" spans="1:11" ht="12.75">
      <c r="A70" s="18" t="s">
        <v>45</v>
      </c>
      <c r="B70" s="96"/>
      <c r="C70" s="96"/>
      <c r="D70" s="96" t="e">
        <f>-#REF!</f>
        <v>#REF!</v>
      </c>
      <c r="E70" s="13"/>
      <c r="F70" s="60">
        <v>0</v>
      </c>
      <c r="G70" s="60"/>
      <c r="H70" s="13" t="e">
        <f>-D70</f>
        <v>#REF!</v>
      </c>
      <c r="I70" s="13"/>
      <c r="J70" s="13" t="e">
        <f>SUM(D70:I70)</f>
        <v>#REF!</v>
      </c>
      <c r="K70" s="13"/>
    </row>
    <row r="71" spans="1:11" ht="12.75">
      <c r="A71" s="18"/>
      <c r="B71" s="96"/>
      <c r="C71" s="96"/>
      <c r="D71" s="96" t="s">
        <v>34</v>
      </c>
      <c r="E71" s="13"/>
      <c r="F71" s="60"/>
      <c r="G71" s="60"/>
      <c r="H71" s="13"/>
      <c r="I71" s="13"/>
      <c r="J71" s="13"/>
      <c r="K71" s="13"/>
    </row>
    <row r="72" spans="1:11" ht="12.75">
      <c r="A72" s="18" t="s">
        <v>46</v>
      </c>
      <c r="B72" s="96"/>
      <c r="C72" s="96"/>
      <c r="D72" s="96" t="s">
        <v>34</v>
      </c>
      <c r="E72" s="13"/>
      <c r="F72" s="60"/>
      <c r="G72" s="60"/>
      <c r="H72" s="13"/>
      <c r="I72" s="13"/>
      <c r="J72" s="13"/>
      <c r="K72" s="13"/>
    </row>
    <row r="73" spans="1:11" ht="12.75">
      <c r="A73" s="18"/>
      <c r="B73" s="96"/>
      <c r="C73" s="96"/>
      <c r="D73" s="96" t="s">
        <v>34</v>
      </c>
      <c r="E73" s="13"/>
      <c r="F73" s="60"/>
      <c r="G73" s="60"/>
      <c r="H73" s="13"/>
      <c r="I73" s="13"/>
      <c r="J73" s="13"/>
      <c r="K73" s="13"/>
    </row>
    <row r="74" spans="1:11" ht="12.75">
      <c r="A74" s="18" t="s">
        <v>47</v>
      </c>
      <c r="B74" s="96"/>
      <c r="C74" s="96"/>
      <c r="D74" s="96" t="e">
        <f>-#REF!</f>
        <v>#REF!</v>
      </c>
      <c r="E74" s="13"/>
      <c r="F74" s="60"/>
      <c r="G74" s="60"/>
      <c r="H74" s="13"/>
      <c r="I74" s="13"/>
      <c r="J74" s="97" t="e">
        <f>SUM(D74:I74)</f>
        <v>#REF!</v>
      </c>
      <c r="K74" s="13"/>
    </row>
    <row r="75" spans="1:11" ht="12.75">
      <c r="A75" s="18"/>
      <c r="B75" s="96"/>
      <c r="C75" s="96"/>
      <c r="D75" s="96"/>
      <c r="E75" s="13" t="s">
        <v>34</v>
      </c>
      <c r="F75" s="60"/>
      <c r="G75" s="60"/>
      <c r="H75" s="13"/>
      <c r="I75" s="13"/>
      <c r="J75" s="13"/>
      <c r="K75" s="13"/>
    </row>
    <row r="76" spans="1:11" ht="12.75">
      <c r="A76" s="18" t="s">
        <v>74</v>
      </c>
      <c r="B76" s="96"/>
      <c r="C76" s="96"/>
      <c r="D76" s="96"/>
      <c r="E76" s="13"/>
      <c r="F76" s="60"/>
      <c r="G76" s="60"/>
      <c r="H76" s="13"/>
      <c r="I76" s="13"/>
      <c r="J76" s="13"/>
      <c r="K76" s="13"/>
    </row>
    <row r="77" spans="1:11" ht="12.75">
      <c r="A77" s="18"/>
      <c r="B77" s="96"/>
      <c r="C77" s="96"/>
      <c r="D77" s="96"/>
      <c r="E77" s="13"/>
      <c r="F77" s="60"/>
      <c r="G77" s="60"/>
      <c r="H77" s="13"/>
      <c r="I77" s="13"/>
      <c r="J77" s="13"/>
      <c r="K77" s="13"/>
    </row>
    <row r="78" spans="1:11" ht="12.75">
      <c r="A78" s="18" t="s">
        <v>78</v>
      </c>
      <c r="B78" s="96"/>
      <c r="C78" s="96"/>
      <c r="D78" s="96"/>
      <c r="E78" s="13">
        <f>D102</f>
        <v>-3987610.7099999995</v>
      </c>
      <c r="F78" s="60">
        <v>0</v>
      </c>
      <c r="G78" s="60"/>
      <c r="H78" s="13"/>
      <c r="I78" s="13"/>
      <c r="J78" s="13">
        <f>SUM(D78:I78)</f>
        <v>-3987610.7099999995</v>
      </c>
      <c r="K78" s="13">
        <f>J78</f>
        <v>-3987610.7099999995</v>
      </c>
    </row>
    <row r="79" spans="1:11" ht="12.75">
      <c r="A79" s="18"/>
      <c r="B79" s="96"/>
      <c r="C79" s="96"/>
      <c r="D79" s="96"/>
      <c r="E79" s="13"/>
      <c r="F79" s="60"/>
      <c r="G79" s="60"/>
      <c r="H79" s="13"/>
      <c r="I79" s="13"/>
      <c r="J79" s="13"/>
      <c r="K79" s="13"/>
    </row>
    <row r="80" spans="1:11" ht="12.75">
      <c r="A80" s="18"/>
      <c r="B80" s="96"/>
      <c r="C80" s="96"/>
      <c r="D80" s="96"/>
      <c r="E80" s="13"/>
      <c r="F80" s="60"/>
      <c r="G80" s="60"/>
      <c r="H80" s="13"/>
      <c r="I80" s="13"/>
      <c r="J80" s="13"/>
      <c r="K80" s="13"/>
    </row>
    <row r="81" spans="1:11" ht="12.75">
      <c r="A81" s="18"/>
      <c r="B81" s="96"/>
      <c r="C81" s="96"/>
      <c r="D81" s="96"/>
      <c r="E81" s="13"/>
      <c r="F81" s="60"/>
      <c r="G81" s="60"/>
      <c r="H81" s="13"/>
      <c r="I81" s="13"/>
      <c r="J81" s="13"/>
      <c r="K81" s="13"/>
    </row>
    <row r="82" spans="1:11" ht="12.75">
      <c r="A82" s="18"/>
      <c r="B82" s="96"/>
      <c r="C82" s="96"/>
      <c r="D82" s="96"/>
      <c r="E82" s="13"/>
      <c r="F82" s="60"/>
      <c r="G82" s="60"/>
      <c r="H82" s="13"/>
      <c r="I82" s="13"/>
      <c r="J82" s="13"/>
      <c r="K82" s="13"/>
    </row>
    <row r="83" spans="1:11" ht="12.75">
      <c r="A83" s="18"/>
      <c r="B83" s="96"/>
      <c r="C83" s="96"/>
      <c r="D83" s="96"/>
      <c r="E83" s="13"/>
      <c r="F83" s="60"/>
      <c r="G83" s="60"/>
      <c r="H83" s="13"/>
      <c r="I83" s="13"/>
      <c r="J83" s="13"/>
      <c r="K83" s="13"/>
    </row>
    <row r="84" spans="1:11" ht="12.75">
      <c r="A84" s="18"/>
      <c r="B84" s="96"/>
      <c r="C84" s="96"/>
      <c r="D84" s="96" t="s">
        <v>34</v>
      </c>
      <c r="E84" s="13"/>
      <c r="F84" s="60"/>
      <c r="G84" s="60"/>
      <c r="H84" s="13"/>
      <c r="I84" s="13"/>
      <c r="J84" s="13"/>
      <c r="K84" s="13"/>
    </row>
    <row r="85" spans="1:11" ht="13.5" thickBot="1">
      <c r="A85" s="18" t="s">
        <v>34</v>
      </c>
      <c r="B85" s="96"/>
      <c r="C85" s="96"/>
      <c r="D85" s="94" t="e">
        <f>SUM(D4:D84)</f>
        <v>#REF!</v>
      </c>
      <c r="E85" s="94">
        <f aca="true" t="shared" si="2" ref="E85:J85">SUM(E4:E84)</f>
        <v>-3987611.43</v>
      </c>
      <c r="F85" s="94" t="e">
        <f t="shared" si="2"/>
        <v>#REF!</v>
      </c>
      <c r="G85" s="94" t="e">
        <f t="shared" si="2"/>
        <v>#REF!</v>
      </c>
      <c r="H85" s="94" t="e">
        <f t="shared" si="2"/>
        <v>#REF!</v>
      </c>
      <c r="I85" s="94">
        <f t="shared" si="2"/>
        <v>0</v>
      </c>
      <c r="J85" s="94" t="e">
        <f t="shared" si="2"/>
        <v>#REF!</v>
      </c>
      <c r="K85" s="103" t="e">
        <f>SUM(K4:K84)</f>
        <v>#REF!</v>
      </c>
    </row>
    <row r="86" spans="1:11" ht="13.5" thickTop="1">
      <c r="A86" s="18" t="s">
        <v>34</v>
      </c>
      <c r="B86" s="96"/>
      <c r="C86" s="96"/>
      <c r="D86" s="96" t="s">
        <v>34</v>
      </c>
      <c r="E86" s="13"/>
      <c r="F86" s="60"/>
      <c r="G86" s="60"/>
      <c r="H86" s="13"/>
      <c r="I86" s="13"/>
      <c r="J86" s="13"/>
      <c r="K86" s="13"/>
    </row>
    <row r="87" spans="2:11" ht="12.75">
      <c r="B87" s="96"/>
      <c r="C87" s="96"/>
      <c r="D87" s="96"/>
      <c r="E87" s="13"/>
      <c r="F87" s="60"/>
      <c r="G87" s="60"/>
      <c r="H87" s="13"/>
      <c r="I87" s="13"/>
      <c r="J87" s="13"/>
      <c r="K87" s="13"/>
    </row>
    <row r="88" spans="2:11" ht="12.75">
      <c r="B88" s="60"/>
      <c r="C88" s="60"/>
      <c r="D88" s="60"/>
      <c r="E88" s="13" t="s">
        <v>34</v>
      </c>
      <c r="F88" s="60"/>
      <c r="G88" s="60"/>
      <c r="H88" s="13"/>
      <c r="I88" s="13"/>
      <c r="J88" s="13"/>
      <c r="K88" s="13"/>
    </row>
    <row r="89" spans="1:11" ht="12.75">
      <c r="A89" t="s">
        <v>63</v>
      </c>
      <c r="B89" s="60"/>
      <c r="C89" s="60"/>
      <c r="D89" s="60"/>
      <c r="E89" s="13"/>
      <c r="F89" s="60"/>
      <c r="G89" s="60"/>
      <c r="H89" s="13"/>
      <c r="I89" s="13"/>
      <c r="J89" s="13"/>
      <c r="K89" s="13"/>
    </row>
    <row r="90" spans="1:11" ht="12.75">
      <c r="A90" t="s">
        <v>62</v>
      </c>
      <c r="B90" s="60"/>
      <c r="C90" s="60"/>
      <c r="D90" s="60"/>
      <c r="E90" s="13"/>
      <c r="F90" s="60"/>
      <c r="G90" s="60"/>
      <c r="H90" s="13"/>
      <c r="I90" s="13"/>
      <c r="J90" s="13"/>
      <c r="K90" s="13"/>
    </row>
    <row r="91" spans="2:11" ht="12.75">
      <c r="B91" s="104" t="s">
        <v>56</v>
      </c>
      <c r="C91" s="104" t="s">
        <v>26</v>
      </c>
      <c r="D91" s="60" t="s">
        <v>53</v>
      </c>
      <c r="E91" s="13"/>
      <c r="F91" s="60"/>
      <c r="G91" s="60"/>
      <c r="H91" s="13"/>
      <c r="I91" s="13"/>
      <c r="J91" s="13"/>
      <c r="K91" s="13"/>
    </row>
    <row r="92" spans="1:11" ht="12.75">
      <c r="A92" t="s">
        <v>71</v>
      </c>
      <c r="B92" s="3">
        <f>-134434.85+23296.13-881.16+45248.99+3206.36+750000+3100000+107416.45</f>
        <v>3893851.92</v>
      </c>
      <c r="C92" s="3">
        <f>85090.23+8669.28</f>
        <v>93759.51</v>
      </c>
      <c r="D92" s="3">
        <f>B92+C92</f>
        <v>3987611.4299999997</v>
      </c>
      <c r="E92" s="13" t="s">
        <v>76</v>
      </c>
      <c r="F92" s="60"/>
      <c r="G92" s="60"/>
      <c r="H92" s="13"/>
      <c r="I92" s="13"/>
      <c r="J92" s="13"/>
      <c r="K92" s="13"/>
    </row>
    <row r="93" spans="1:11" ht="12.75">
      <c r="A93" t="s">
        <v>64</v>
      </c>
      <c r="B93" s="3">
        <f>777985.43-373302.5</f>
        <v>404682.93000000005</v>
      </c>
      <c r="C93" s="3">
        <f>327522.22-145600</f>
        <v>181922.21999999997</v>
      </c>
      <c r="D93" s="3">
        <f aca="true" t="shared" si="3" ref="D93:D101">B93+C93</f>
        <v>586605.15</v>
      </c>
      <c r="E93" s="13" t="s">
        <v>76</v>
      </c>
      <c r="F93" s="60"/>
      <c r="G93" s="60"/>
      <c r="H93" s="13"/>
      <c r="I93" s="13"/>
      <c r="J93" s="13"/>
      <c r="K93" s="13"/>
    </row>
    <row r="94" spans="1:11" ht="12.75">
      <c r="A94" t="s">
        <v>65</v>
      </c>
      <c r="B94" s="3">
        <f>70076+8187.5+2164370.15</f>
        <v>2242633.65</v>
      </c>
      <c r="C94" s="3">
        <v>500000</v>
      </c>
      <c r="D94" s="3">
        <f t="shared" si="3"/>
        <v>2742633.65</v>
      </c>
      <c r="E94" s="13" t="s">
        <v>76</v>
      </c>
      <c r="F94" s="60"/>
      <c r="G94" s="60"/>
      <c r="H94" s="13"/>
      <c r="I94" s="13"/>
      <c r="J94" s="13"/>
      <c r="K94" s="13"/>
    </row>
    <row r="95" spans="1:11" ht="12.75">
      <c r="A95" t="s">
        <v>66</v>
      </c>
      <c r="B95" s="3">
        <v>1303691.83</v>
      </c>
      <c r="C95" s="3">
        <v>868</v>
      </c>
      <c r="D95" s="3">
        <f>B95+C95</f>
        <v>1304559.83</v>
      </c>
      <c r="E95" s="13" t="s">
        <v>76</v>
      </c>
      <c r="F95" s="60"/>
      <c r="G95" s="60"/>
      <c r="H95" s="13"/>
      <c r="I95" s="13"/>
      <c r="J95" s="13"/>
      <c r="K95" s="13"/>
    </row>
    <row r="96" spans="1:11" ht="12.75">
      <c r="A96" t="s">
        <v>72</v>
      </c>
      <c r="B96" s="3">
        <f>-558666.21+201576.85</f>
        <v>-357089.36</v>
      </c>
      <c r="D96" s="3">
        <f t="shared" si="3"/>
        <v>-357089.36</v>
      </c>
      <c r="E96" s="13" t="s">
        <v>76</v>
      </c>
      <c r="F96" s="60"/>
      <c r="G96" s="60"/>
      <c r="H96" s="13"/>
      <c r="I96" s="13"/>
      <c r="J96" s="13"/>
      <c r="K96" s="13"/>
    </row>
    <row r="97" spans="1:11" ht="12.75">
      <c r="A97" t="s">
        <v>67</v>
      </c>
      <c r="B97" s="10">
        <f>-3130000-10523-25761.87+41000-650000-500000-10000</f>
        <v>-4285284.87</v>
      </c>
      <c r="C97" s="10">
        <v>-3200</v>
      </c>
      <c r="D97" s="10">
        <f t="shared" si="3"/>
        <v>-4288484.87</v>
      </c>
      <c r="E97" s="13" t="s">
        <v>76</v>
      </c>
      <c r="F97" s="60"/>
      <c r="G97" s="60"/>
      <c r="H97" s="13"/>
      <c r="I97" s="13"/>
      <c r="J97" s="13"/>
      <c r="K97" s="13"/>
    </row>
    <row r="98" spans="1:11" ht="12.75">
      <c r="A98" t="s">
        <v>68</v>
      </c>
      <c r="B98" s="3">
        <f>SUM(B92:B97)</f>
        <v>3202486.0999999996</v>
      </c>
      <c r="C98" s="3">
        <f>SUM(C92:C97)</f>
        <v>773349.73</v>
      </c>
      <c r="D98" s="3">
        <f>SUM(D92:D97)</f>
        <v>3975835.83</v>
      </c>
      <c r="E98" s="13"/>
      <c r="F98" s="60"/>
      <c r="G98" s="60"/>
      <c r="H98" s="13"/>
      <c r="I98" s="13"/>
      <c r="J98" s="13"/>
      <c r="K98" s="13"/>
    </row>
    <row r="99" spans="1:11" ht="12.75">
      <c r="A99" t="s">
        <v>69</v>
      </c>
      <c r="B99" s="3">
        <v>-3223226</v>
      </c>
      <c r="C99" s="3">
        <v>-2500000</v>
      </c>
      <c r="D99" s="26">
        <f t="shared" si="3"/>
        <v>-5723226</v>
      </c>
      <c r="E99" s="13" t="s">
        <v>76</v>
      </c>
      <c r="F99" s="60"/>
      <c r="G99" s="60"/>
      <c r="H99" s="13"/>
      <c r="I99" s="13"/>
      <c r="J99" s="13"/>
      <c r="K99" s="13"/>
    </row>
    <row r="100" spans="1:11" ht="12.75">
      <c r="A100" t="s">
        <v>73</v>
      </c>
      <c r="B100" s="3">
        <f>-B92</f>
        <v>-3893851.92</v>
      </c>
      <c r="C100" s="3">
        <f>-C92</f>
        <v>-93759.51</v>
      </c>
      <c r="D100" s="26">
        <f t="shared" si="3"/>
        <v>-3987611.4299999997</v>
      </c>
      <c r="E100" s="13" t="s">
        <v>76</v>
      </c>
      <c r="F100" s="60"/>
      <c r="G100" s="60"/>
      <c r="H100" s="13"/>
      <c r="I100" s="13"/>
      <c r="J100" s="13"/>
      <c r="K100" s="13"/>
    </row>
    <row r="101" spans="1:11" ht="12.75">
      <c r="A101" t="s">
        <v>6</v>
      </c>
      <c r="B101" s="3">
        <f>20740.54</f>
        <v>20740.54</v>
      </c>
      <c r="C101" s="3">
        <f>1726650.35</f>
        <v>1726650.35</v>
      </c>
      <c r="D101" s="10">
        <f t="shared" si="3"/>
        <v>1747390.8900000001</v>
      </c>
      <c r="E101" s="13" t="s">
        <v>76</v>
      </c>
      <c r="F101" s="60"/>
      <c r="G101" s="60"/>
      <c r="H101" s="13"/>
      <c r="I101" s="13"/>
      <c r="J101" s="13"/>
      <c r="K101" s="13"/>
    </row>
    <row r="102" spans="1:11" ht="13.5" thickBot="1">
      <c r="A102" t="s">
        <v>70</v>
      </c>
      <c r="B102" s="8">
        <f>SUM(B98:B101)</f>
        <v>-3893851.2800000003</v>
      </c>
      <c r="C102" s="8">
        <f>SUM(C98:C101)</f>
        <v>-93759.42999999993</v>
      </c>
      <c r="D102" s="8">
        <f>SUM(D98:D101)</f>
        <v>-3987610.7099999995</v>
      </c>
      <c r="E102" s="13"/>
      <c r="F102" s="60"/>
      <c r="G102" s="60"/>
      <c r="H102" s="13"/>
      <c r="I102" s="13"/>
      <c r="J102" s="13"/>
      <c r="K102" s="13"/>
    </row>
    <row r="103" spans="2:11" ht="13.5" thickTop="1">
      <c r="B103" s="60"/>
      <c r="C103" s="60"/>
      <c r="D103" s="60">
        <f>B102+C102-D102</f>
        <v>0</v>
      </c>
      <c r="E103" s="13"/>
      <c r="F103" s="60"/>
      <c r="G103" s="60"/>
      <c r="H103" s="13"/>
      <c r="I103" s="13"/>
      <c r="J103" s="13"/>
      <c r="K103" s="13"/>
    </row>
  </sheetData>
  <sheetProtection/>
  <printOptions/>
  <pageMargins left="0.25" right="0.34" top="1" bottom="1" header="0.5" footer="0.5"/>
  <pageSetup fitToHeight="1" fitToWidth="1" horizontalDpi="600" verticalDpi="600" orientation="portrait" paperSize="9" scale="47" r:id="rId1"/>
  <headerFooter alignWithMargins="0">
    <oddFooter>&amp;C&amp;D&amp;T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LAIFONGLING</cp:lastModifiedBy>
  <cp:lastPrinted>2008-05-13T02:31:37Z</cp:lastPrinted>
  <dcterms:created xsi:type="dcterms:W3CDTF">2004-04-06T05:40:30Z</dcterms:created>
  <dcterms:modified xsi:type="dcterms:W3CDTF">2008-05-13T02:38:22Z</dcterms:modified>
  <cp:category/>
  <cp:version/>
  <cp:contentType/>
  <cp:contentStatus/>
</cp:coreProperties>
</file>