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" yWindow="14" windowWidth="10528" windowHeight="5774" tabRatio="601" activeTab="0"/>
  </bookViews>
  <sheets>
    <sheet name="IS" sheetId="1" r:id="rId1"/>
    <sheet name="BS" sheetId="2" r:id="rId2"/>
    <sheet name="CF" sheetId="3" r:id="rId3"/>
    <sheet name="STE" sheetId="4" r:id="rId4"/>
    <sheet name="EPS'02" sheetId="5" r:id="rId5"/>
    <sheet name="EPS'03" sheetId="6" r:id="rId6"/>
    <sheet name="EPS'03C" sheetId="7" r:id="rId7"/>
    <sheet name="Sheet2" sheetId="8" r:id="rId8"/>
  </sheets>
  <definedNames/>
  <calcPr fullCalcOnLoad="1"/>
</workbook>
</file>

<file path=xl/sharedStrings.xml><?xml version="1.0" encoding="utf-8"?>
<sst xmlns="http://schemas.openxmlformats.org/spreadsheetml/2006/main" count="217" uniqueCount="143">
  <si>
    <t>GHL SYSTEMS BERHAD</t>
  </si>
  <si>
    <t>CONSOLIDATED INCOME STATEMENTS</t>
  </si>
  <si>
    <t>Note</t>
  </si>
  <si>
    <t>CUMULATIVE QUARTER</t>
  </si>
  <si>
    <t>RM</t>
  </si>
  <si>
    <t>REVENUE</t>
  </si>
  <si>
    <t>COST OF SALES</t>
  </si>
  <si>
    <t>GROSS PROFIT</t>
  </si>
  <si>
    <t>OTHER OPERATING INCOME</t>
  </si>
  <si>
    <t>OPERATING EXPENSES</t>
  </si>
  <si>
    <t>PROFIT FROM OPERATIONS</t>
  </si>
  <si>
    <t>FINANCE COST</t>
  </si>
  <si>
    <t>SHARE OF LOSS IN ASSOCIATED COMPANY</t>
  </si>
  <si>
    <t>PROFIT FOR THE YEAR</t>
  </si>
  <si>
    <t>Earnings Per Ordinary Share</t>
  </si>
  <si>
    <t>- Basic (sen)</t>
  </si>
  <si>
    <t>CONSOLIDATED BALANCE SHEET</t>
  </si>
  <si>
    <t>AS AT</t>
  </si>
  <si>
    <t>END OF</t>
  </si>
  <si>
    <t>CURRENT</t>
  </si>
  <si>
    <t>YEAR</t>
  </si>
  <si>
    <t>QUARTER</t>
  </si>
  <si>
    <t xml:space="preserve">ENDED </t>
  </si>
  <si>
    <t>FINANCIAL</t>
  </si>
  <si>
    <t>ASSETS EMPLOYED</t>
  </si>
  <si>
    <t xml:space="preserve">  PROPERTY, PLANT AND EQUIPMENT</t>
  </si>
  <si>
    <t xml:space="preserve">  INVESTMENT IN ASSOCIATED COMPANY</t>
  </si>
  <si>
    <t xml:space="preserve">  GOODWILL ON CONSOLIDATION</t>
  </si>
  <si>
    <t>CURRENT ASSETS</t>
  </si>
  <si>
    <t xml:space="preserve">  Inventories</t>
  </si>
  <si>
    <t xml:space="preserve">  Trade receivables</t>
  </si>
  <si>
    <t xml:space="preserve">  Other receivables</t>
  </si>
  <si>
    <t xml:space="preserve">  Fixed deposits placed with licensed banks</t>
  </si>
  <si>
    <t xml:space="preserve">  Cash and bank balances</t>
  </si>
  <si>
    <t>LESS: CURRENT LIABILITIES</t>
  </si>
  <si>
    <t xml:space="preserve">  Trade payables</t>
  </si>
  <si>
    <t xml:space="preserve">  Other payables</t>
  </si>
  <si>
    <t xml:space="preserve">  Hire purchase and lease payables</t>
  </si>
  <si>
    <t>NET CURRENT ASSETS</t>
  </si>
  <si>
    <t>FINANCED BY:</t>
  </si>
  <si>
    <t>SHARE CAPITAL</t>
  </si>
  <si>
    <t>RETAINED PROFITS</t>
  </si>
  <si>
    <t>LONG TERM LIABILITIES</t>
  </si>
  <si>
    <t>NTA per share (sen)</t>
  </si>
  <si>
    <t>CONSOLIDATED CASH FLOW STATEMENT</t>
  </si>
  <si>
    <t>CASH FLOWS FROM OPERATING ACTIVITIES</t>
  </si>
  <si>
    <t>Profit for the year</t>
  </si>
  <si>
    <t>Adjustment for:</t>
  </si>
  <si>
    <t xml:space="preserve">   Depreciation of property, plant equipment</t>
  </si>
  <si>
    <t xml:space="preserve">   Interest expenses</t>
  </si>
  <si>
    <t>Operating profit before working capital changes</t>
  </si>
  <si>
    <t xml:space="preserve">   Inventories</t>
  </si>
  <si>
    <t xml:space="preserve">   Receivables</t>
  </si>
  <si>
    <t xml:space="preserve">   Payables</t>
  </si>
  <si>
    <t xml:space="preserve">  Cash generated from operations</t>
  </si>
  <si>
    <t xml:space="preserve">   Purchase of property, plant and equipment</t>
  </si>
  <si>
    <t>CASH FLOWS FORM FINANCING ACTIVITIES</t>
  </si>
  <si>
    <t>NET INCREASE IN CASH AND CASH EQUIVALENTS</t>
  </si>
  <si>
    <t>OPENING BALANCE OF CASH AND CASH EQUIVALENTS</t>
  </si>
  <si>
    <t>CLOSING BALANCE OF CASH AND CASH EQUIVALENTS</t>
  </si>
  <si>
    <t xml:space="preserve">The opening and closing balances of cash and cash equivalents represent cash in hand, </t>
  </si>
  <si>
    <t>CONSOLIDATED STATEMENT OF CHANGES IN EQUITY</t>
  </si>
  <si>
    <t>Share</t>
  </si>
  <si>
    <t>Capital</t>
  </si>
  <si>
    <t>Retained</t>
  </si>
  <si>
    <t>Profits</t>
  </si>
  <si>
    <t>Total</t>
  </si>
  <si>
    <t>Issue of shares</t>
  </si>
  <si>
    <t>Profit for the quarter</t>
  </si>
  <si>
    <t>(The Condensed Consolidated Statement of Changes in Equity should be read in conjunction with the</t>
  </si>
  <si>
    <t xml:space="preserve">QUARTER </t>
  </si>
  <si>
    <t>PRECEDING YEAR</t>
  </si>
  <si>
    <t>CORRESPONDING</t>
  </si>
  <si>
    <t>TO DATE</t>
  </si>
  <si>
    <t>PERIOD</t>
  </si>
  <si>
    <t>AS AT PRECEDING</t>
  </si>
  <si>
    <t>THE FIGURES HAVE NOT BEEN AUDITED</t>
  </si>
  <si>
    <t xml:space="preserve">   Interest paid</t>
  </si>
  <si>
    <t>bank balances and fixed deposits placed with licensed banks.</t>
  </si>
  <si>
    <t xml:space="preserve"> Statements for the year ended 31 December 2002)</t>
  </si>
  <si>
    <t>(The Condensed Consolidated Income Statement should be read in conjunction with the</t>
  </si>
  <si>
    <t>(The Condensed Consolidated Balance sheet should be read in conjunction with the</t>
  </si>
  <si>
    <t xml:space="preserve"> Financial Statements for the year ended 31 December 2002)</t>
  </si>
  <si>
    <t xml:space="preserve">(The Condensed Consolidated Cash Flow Statement should be read in conjunction with Financial </t>
  </si>
  <si>
    <t>Number of ordinary shares</t>
  </si>
  <si>
    <t>RM0.10</t>
  </si>
  <si>
    <t>Nominal value per share</t>
  </si>
  <si>
    <t>Balance at 1 January 2003</t>
  </si>
  <si>
    <t xml:space="preserve">   Property, plant and equipment written off</t>
  </si>
  <si>
    <t>Weighted average number of ordinary shares in issue</t>
  </si>
  <si>
    <t>31/12/2002(Audited)</t>
  </si>
  <si>
    <t>Premium</t>
  </si>
  <si>
    <t>- Diluted (sen)</t>
  </si>
  <si>
    <t>NA</t>
  </si>
  <si>
    <t>INDIVIDUAL QUARTER</t>
  </si>
  <si>
    <t>SHARE PREMIUM</t>
  </si>
  <si>
    <t>CASH FLOWS FROM INVESTING ACTIVITY</t>
  </si>
  <si>
    <t>Net cash used in investing activity</t>
  </si>
  <si>
    <t xml:space="preserve">   Repayment of hire purchase</t>
  </si>
  <si>
    <t xml:space="preserve">    Issuance of new shares</t>
  </si>
  <si>
    <t>Net cash from financing activities</t>
  </si>
  <si>
    <t>30/9/2003</t>
  </si>
  <si>
    <t>30/9/2002</t>
  </si>
  <si>
    <t>Balance at 30 September 2003</t>
  </si>
  <si>
    <t xml:space="preserve">  Provision for taxation</t>
  </si>
  <si>
    <t>TAXATION</t>
  </si>
  <si>
    <t>PROFIT BEFORE TAX</t>
  </si>
  <si>
    <t xml:space="preserve">   Increase/decrease in working capital</t>
  </si>
  <si>
    <t xml:space="preserve">   Tax paid</t>
  </si>
  <si>
    <t>Weighted Average Number of Ordinary Shares in Issue</t>
  </si>
  <si>
    <t>30 September 2002</t>
  </si>
  <si>
    <t>Date</t>
  </si>
  <si>
    <t xml:space="preserve">Accumulated </t>
  </si>
  <si>
    <t>Method 1</t>
  </si>
  <si>
    <t>Method 2</t>
  </si>
  <si>
    <t xml:space="preserve">EPS </t>
  </si>
  <si>
    <t>EPS (Cumulative Quarter)</t>
  </si>
  <si>
    <t xml:space="preserve">        =</t>
  </si>
  <si>
    <t>Basic    =</t>
  </si>
  <si>
    <t>EPS (Individual Quarter)</t>
  </si>
  <si>
    <t>No. of Shares</t>
  </si>
  <si>
    <t>Individual Quarter - 30 September 2003</t>
  </si>
  <si>
    <t>EPS</t>
  </si>
  <si>
    <t>Fully Diluted =</t>
  </si>
  <si>
    <t>Basic           =</t>
  </si>
  <si>
    <t xml:space="preserve">            =</t>
  </si>
  <si>
    <t>Less: exercise</t>
  </si>
  <si>
    <t>No. of shares deemed to have been isued for no consideration</t>
  </si>
  <si>
    <t>(b)</t>
  </si>
  <si>
    <t>(a)</t>
  </si>
  <si>
    <t>(a) + (b)</t>
  </si>
  <si>
    <t>No. of shares under ESOS</t>
  </si>
  <si>
    <t>Cumulative Quarter - 30 September 2003</t>
  </si>
  <si>
    <t>A8</t>
  </si>
  <si>
    <t>B5</t>
  </si>
  <si>
    <t>B13</t>
  </si>
  <si>
    <t>B9</t>
  </si>
  <si>
    <t>12,506,000 x 0.20/0.3832</t>
  </si>
  <si>
    <t>1,985,000 x 0.205/0.3832</t>
  </si>
  <si>
    <t>1,985,000x 0.205/0.3832</t>
  </si>
  <si>
    <t>No. of shares that would be issue at fair value</t>
  </si>
  <si>
    <t>QUARTERLY REPORT ON CONSOLIDATED RESULTS FOR THE THIRD QUARTER ENDED 30 SEPTEMBER 2003</t>
  </si>
  <si>
    <t>Net cash used in operating activities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</si>
</sst>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??_);_(@_)"/>
    <numFmt numFmtId="167" formatCode="m/d/yyyy"/>
    <numFmt numFmtId="168" formatCode="_(* #,##0.0_);_(* \(#,##0.0\);_(* &quot;-&quot;?_);_(@_)"/>
    <numFmt numFmtId="169" formatCode="_(* #,##0.000_);_(* \(#,##0.000\);_(* &quot;-&quot;???_);_(@_)"/>
  </numFmts>
  <fonts count="4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41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0" xfId="0" applyNumberFormat="1" applyBorder="1" applyAlignment="1">
      <alignment/>
    </xf>
    <xf numFmtId="43" fontId="0" fillId="0" borderId="0" xfId="15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center"/>
    </xf>
    <xf numFmtId="165" fontId="0" fillId="0" borderId="2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0" xfId="15" applyNumberFormat="1" applyFont="1" applyAlignment="1">
      <alignment/>
    </xf>
    <xf numFmtId="41" fontId="0" fillId="0" borderId="9" xfId="0" applyNumberFormat="1" applyBorder="1" applyAlignment="1">
      <alignment/>
    </xf>
    <xf numFmtId="41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43" fontId="0" fillId="0" borderId="0" xfId="15" applyFont="1" applyAlignment="1">
      <alignment horizontal="right"/>
    </xf>
    <xf numFmtId="43" fontId="0" fillId="0" borderId="0" xfId="15" applyAlignment="1">
      <alignment horizontal="right"/>
    </xf>
    <xf numFmtId="165" fontId="1" fillId="0" borderId="0" xfId="15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1" fontId="0" fillId="0" borderId="10" xfId="0" applyNumberForma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15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5" fontId="1" fillId="0" borderId="0" xfId="0" applyNumberFormat="1" applyFont="1" applyAlignment="1">
      <alignment horizontal="left"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left"/>
    </xf>
    <xf numFmtId="15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Border="1" applyAlignment="1">
      <alignment/>
    </xf>
    <xf numFmtId="15" fontId="0" fillId="0" borderId="0" xfId="0" applyNumberFormat="1" applyFont="1" applyAlignment="1">
      <alignment horizontal="right"/>
    </xf>
    <xf numFmtId="15" fontId="0" fillId="0" borderId="12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15" fontId="0" fillId="0" borderId="14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166" fontId="0" fillId="0" borderId="0" xfId="0" applyNumberFormat="1" applyFont="1" applyBorder="1" applyAlignment="1">
      <alignment/>
    </xf>
    <xf numFmtId="15" fontId="0" fillId="0" borderId="16" xfId="0" applyNumberFormat="1" applyFont="1" applyBorder="1" applyAlignment="1">
      <alignment horizontal="right"/>
    </xf>
    <xf numFmtId="166" fontId="0" fillId="0" borderId="1" xfId="0" applyNumberFormat="1" applyFont="1" applyBorder="1" applyAlignment="1">
      <alignment/>
    </xf>
    <xf numFmtId="0" fontId="0" fillId="0" borderId="17" xfId="0" applyFont="1" applyBorder="1" applyAlignment="1">
      <alignment/>
    </xf>
    <xf numFmtId="41" fontId="0" fillId="0" borderId="8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41" fontId="0" fillId="0" borderId="8" xfId="0" applyNumberFormat="1" applyFont="1" applyBorder="1" applyAlignment="1">
      <alignment/>
    </xf>
    <xf numFmtId="1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3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166" fontId="0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15" fontId="0" fillId="0" borderId="14" xfId="0" applyNumberFormat="1" applyFont="1" applyBorder="1" applyAlignment="1">
      <alignment horizontal="left"/>
    </xf>
    <xf numFmtId="41" fontId="0" fillId="0" borderId="2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1" fontId="0" fillId="0" borderId="0" xfId="0" applyNumberFormat="1" applyFont="1" applyAlignment="1">
      <alignment horizontal="right"/>
    </xf>
    <xf numFmtId="41" fontId="0" fillId="0" borderId="3" xfId="0" applyNumberFormat="1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15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21" sqref="A21"/>
    </sheetView>
  </sheetViews>
  <sheetFormatPr defaultColWidth="9.140625" defaultRowHeight="12.75"/>
  <cols>
    <col min="1" max="1" width="37.421875" style="0" customWidth="1"/>
    <col min="2" max="2" width="6.57421875" style="0" customWidth="1"/>
    <col min="3" max="3" width="2.57421875" style="0" customWidth="1"/>
    <col min="4" max="4" width="14.57421875" style="0" bestFit="1" customWidth="1"/>
    <col min="5" max="5" width="0.85546875" style="0" customWidth="1"/>
    <col min="6" max="6" width="15.28125" style="0" customWidth="1"/>
    <col min="7" max="7" width="1.7109375" style="0" customWidth="1"/>
    <col min="8" max="8" width="14.140625" style="0" customWidth="1"/>
    <col min="9" max="9" width="4.140625" style="0" customWidth="1"/>
    <col min="10" max="10" width="17.8515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141</v>
      </c>
    </row>
    <row r="4" ht="12.75">
      <c r="A4" t="s">
        <v>76</v>
      </c>
    </row>
    <row r="6" spans="2:10" ht="12.75">
      <c r="B6" s="2"/>
      <c r="C6" s="2"/>
      <c r="D6" s="72" t="s">
        <v>94</v>
      </c>
      <c r="E6" s="72"/>
      <c r="F6" s="72"/>
      <c r="G6" s="2"/>
      <c r="H6" s="72" t="s">
        <v>3</v>
      </c>
      <c r="I6" s="72"/>
      <c r="J6" s="72"/>
    </row>
    <row r="7" spans="2:10" ht="12.75">
      <c r="B7" s="2"/>
      <c r="C7" s="2"/>
      <c r="D7" s="2" t="s">
        <v>19</v>
      </c>
      <c r="E7" s="2"/>
      <c r="F7" s="2" t="s">
        <v>71</v>
      </c>
      <c r="G7" s="2"/>
      <c r="H7" s="2" t="s">
        <v>19</v>
      </c>
      <c r="I7" s="2"/>
      <c r="J7" s="2" t="s">
        <v>71</v>
      </c>
    </row>
    <row r="8" spans="2:10" ht="12.75">
      <c r="B8" s="2"/>
      <c r="C8" s="2"/>
      <c r="D8" s="2" t="s">
        <v>20</v>
      </c>
      <c r="E8" s="2"/>
      <c r="F8" s="2" t="s">
        <v>72</v>
      </c>
      <c r="G8" s="2"/>
      <c r="H8" s="2" t="s">
        <v>20</v>
      </c>
      <c r="I8" s="2"/>
      <c r="J8" s="2" t="s">
        <v>72</v>
      </c>
    </row>
    <row r="9" spans="2:10" ht="12.75">
      <c r="B9" s="2"/>
      <c r="C9" s="2"/>
      <c r="D9" s="2" t="s">
        <v>70</v>
      </c>
      <c r="E9" s="2"/>
      <c r="F9" s="2" t="s">
        <v>21</v>
      </c>
      <c r="G9" s="2"/>
      <c r="H9" s="2" t="s">
        <v>73</v>
      </c>
      <c r="I9" s="2"/>
      <c r="J9" s="2" t="s">
        <v>74</v>
      </c>
    </row>
    <row r="10" spans="2:10" ht="14.25" thickBot="1">
      <c r="B10" s="3" t="s">
        <v>2</v>
      </c>
      <c r="C10" s="25"/>
      <c r="D10" s="6" t="s">
        <v>101</v>
      </c>
      <c r="E10" s="7"/>
      <c r="F10" s="6" t="s">
        <v>102</v>
      </c>
      <c r="G10" s="7"/>
      <c r="H10" s="6" t="s">
        <v>101</v>
      </c>
      <c r="I10" s="7"/>
      <c r="J10" s="6" t="s">
        <v>102</v>
      </c>
    </row>
    <row r="11" spans="2:10" ht="12.75">
      <c r="B11" s="2"/>
      <c r="C11" s="2"/>
      <c r="D11" s="2" t="s">
        <v>4</v>
      </c>
      <c r="E11" s="2"/>
      <c r="F11" s="2" t="s">
        <v>4</v>
      </c>
      <c r="G11" s="2"/>
      <c r="H11" s="2" t="s">
        <v>4</v>
      </c>
      <c r="I11" s="2"/>
      <c r="J11" s="2" t="s">
        <v>4</v>
      </c>
    </row>
    <row r="12" spans="4:19" ht="12.75"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2.75">
      <c r="A13" t="s">
        <v>5</v>
      </c>
      <c r="B13" s="2" t="s">
        <v>133</v>
      </c>
      <c r="C13" s="2"/>
      <c r="D13" s="5">
        <f>38635342-22303952+1</f>
        <v>16331391</v>
      </c>
      <c r="E13" s="5"/>
      <c r="F13" s="5">
        <f>17229709-10195325</f>
        <v>7034384</v>
      </c>
      <c r="G13" s="5"/>
      <c r="H13" s="5">
        <v>38635342</v>
      </c>
      <c r="I13" s="5"/>
      <c r="J13" s="5">
        <v>17229709</v>
      </c>
      <c r="K13" s="5"/>
      <c r="L13" s="5"/>
      <c r="M13" s="5"/>
      <c r="N13" s="5"/>
      <c r="O13" s="5"/>
      <c r="P13" s="5"/>
      <c r="Q13" s="5"/>
      <c r="R13" s="5"/>
      <c r="S13" s="5"/>
    </row>
    <row r="14" spans="4:19" ht="12.75"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2.75">
      <c r="A15" t="s">
        <v>6</v>
      </c>
      <c r="D15" s="8">
        <f>-23400640--12867720-1</f>
        <v>-10532921</v>
      </c>
      <c r="E15" s="5"/>
      <c r="F15" s="8">
        <f>-5780320--3109782</f>
        <v>-2670538</v>
      </c>
      <c r="G15" s="5"/>
      <c r="H15" s="8">
        <v>-23400640</v>
      </c>
      <c r="I15" s="5"/>
      <c r="J15" s="8">
        <v>-5780320</v>
      </c>
      <c r="K15" s="5"/>
      <c r="L15" s="5"/>
      <c r="M15" s="5"/>
      <c r="N15" s="5"/>
      <c r="O15" s="5"/>
      <c r="P15" s="5"/>
      <c r="Q15" s="5"/>
      <c r="R15" s="5"/>
      <c r="S15" s="5"/>
    </row>
    <row r="16" spans="4:19" ht="12.75"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2.75">
      <c r="A17" t="s">
        <v>7</v>
      </c>
      <c r="D17" s="5">
        <f>D13+D15</f>
        <v>5798470</v>
      </c>
      <c r="E17" s="5"/>
      <c r="F17" s="5">
        <f>F13+F15</f>
        <v>4363846</v>
      </c>
      <c r="G17" s="5"/>
      <c r="H17" s="5">
        <f>H13+H15</f>
        <v>15234702</v>
      </c>
      <c r="I17" s="5"/>
      <c r="J17" s="5">
        <f>J13+J15</f>
        <v>11449389</v>
      </c>
      <c r="K17" s="5"/>
      <c r="L17" s="5"/>
      <c r="M17" s="5"/>
      <c r="N17" s="5"/>
      <c r="O17" s="5"/>
      <c r="P17" s="5"/>
      <c r="Q17" s="5"/>
      <c r="R17" s="5"/>
      <c r="S17" s="5"/>
    </row>
    <row r="18" spans="4:19" ht="12.7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2.75">
      <c r="A19" t="s">
        <v>8</v>
      </c>
      <c r="D19" s="5">
        <f>351042-179422+1</f>
        <v>171621</v>
      </c>
      <c r="E19" s="5"/>
      <c r="F19" s="5">
        <f>774637-94888</f>
        <v>679749</v>
      </c>
      <c r="G19" s="5"/>
      <c r="H19" s="5">
        <v>351042</v>
      </c>
      <c r="I19" s="5"/>
      <c r="J19" s="5">
        <v>774637</v>
      </c>
      <c r="K19" s="5"/>
      <c r="L19" s="5"/>
      <c r="M19" s="5"/>
      <c r="N19" s="5"/>
      <c r="O19" s="5"/>
      <c r="P19" s="5"/>
      <c r="Q19" s="5"/>
      <c r="R19" s="5"/>
      <c r="S19" s="5"/>
    </row>
    <row r="20" spans="4:19" ht="12.75"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2.75">
      <c r="A21" t="s">
        <v>9</v>
      </c>
      <c r="D21" s="8">
        <f>-13013445--8243905-536</f>
        <v>-4770076</v>
      </c>
      <c r="E21" s="5"/>
      <c r="F21" s="8">
        <f>-10179413--6324238</f>
        <v>-3855175</v>
      </c>
      <c r="G21" s="5"/>
      <c r="H21" s="8">
        <v>-13013445</v>
      </c>
      <c r="I21" s="5"/>
      <c r="J21" s="8">
        <v>-10179413</v>
      </c>
      <c r="K21" s="5"/>
      <c r="L21" s="5"/>
      <c r="M21" s="5"/>
      <c r="N21" s="5"/>
      <c r="O21" s="5"/>
      <c r="P21" s="5"/>
      <c r="Q21" s="5"/>
      <c r="R21" s="5"/>
      <c r="S21" s="5"/>
    </row>
    <row r="22" spans="4:19" ht="12.75"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2.75">
      <c r="A23" t="s">
        <v>10</v>
      </c>
      <c r="D23" s="5">
        <f>D17+D19+D21</f>
        <v>1200015</v>
      </c>
      <c r="E23" s="5"/>
      <c r="F23" s="5">
        <f>F17+F19+F21</f>
        <v>1188420</v>
      </c>
      <c r="G23" s="5"/>
      <c r="H23" s="5">
        <f>H17+H19+H21</f>
        <v>2572299</v>
      </c>
      <c r="I23" s="5"/>
      <c r="J23" s="5">
        <f>J17+J19+J21</f>
        <v>2044613</v>
      </c>
      <c r="K23" s="5"/>
      <c r="L23" s="5"/>
      <c r="M23" s="5"/>
      <c r="N23" s="5"/>
      <c r="O23" s="5"/>
      <c r="P23" s="5"/>
      <c r="Q23" s="5"/>
      <c r="R23" s="5"/>
      <c r="S23" s="5"/>
    </row>
    <row r="24" spans="4:19" ht="12.75"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2.75">
      <c r="A25" t="s">
        <v>11</v>
      </c>
      <c r="D25" s="5">
        <f>-17625--11750</f>
        <v>-5875</v>
      </c>
      <c r="E25" s="5"/>
      <c r="F25" s="5">
        <f>-260649--212830</f>
        <v>-47819</v>
      </c>
      <c r="G25" s="5"/>
      <c r="H25" s="5">
        <v>-17625</v>
      </c>
      <c r="I25" s="5"/>
      <c r="J25" s="5">
        <v>-260648.82</v>
      </c>
      <c r="K25" s="5"/>
      <c r="L25" s="5"/>
      <c r="M25" s="5"/>
      <c r="N25" s="5"/>
      <c r="O25" s="5"/>
      <c r="P25" s="5"/>
      <c r="Q25" s="5"/>
      <c r="R25" s="5"/>
      <c r="S25" s="5"/>
    </row>
    <row r="26" spans="4:19" ht="12.75"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12.75">
      <c r="A27" t="s">
        <v>12</v>
      </c>
      <c r="D27" s="8">
        <v>0</v>
      </c>
      <c r="E27" s="5"/>
      <c r="F27" s="8">
        <v>0</v>
      </c>
      <c r="G27" s="5"/>
      <c r="H27" s="8">
        <v>0</v>
      </c>
      <c r="I27" s="5"/>
      <c r="J27" s="8">
        <v>0</v>
      </c>
      <c r="K27" s="5"/>
      <c r="L27" s="5"/>
      <c r="M27" s="5"/>
      <c r="N27" s="5"/>
      <c r="O27" s="5"/>
      <c r="P27" s="5"/>
      <c r="Q27" s="5"/>
      <c r="R27" s="5"/>
      <c r="S27" s="5"/>
    </row>
    <row r="28" spans="4:19" ht="12.75"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12.75">
      <c r="A29" t="s">
        <v>106</v>
      </c>
      <c r="D29" s="11">
        <f>D23+D25+D27</f>
        <v>1194140</v>
      </c>
      <c r="E29" s="11"/>
      <c r="F29" s="11">
        <f>F23+F25+F27</f>
        <v>1140601</v>
      </c>
      <c r="G29" s="11"/>
      <c r="H29" s="11">
        <f>H23+H25+H27</f>
        <v>2554674</v>
      </c>
      <c r="I29" s="11"/>
      <c r="J29" s="11">
        <f>J23+J25+J27</f>
        <v>1783964.18</v>
      </c>
      <c r="K29" s="5"/>
      <c r="L29" s="5"/>
      <c r="M29" s="5"/>
      <c r="N29" s="5"/>
      <c r="O29" s="5"/>
      <c r="P29" s="5"/>
      <c r="Q29" s="5"/>
      <c r="R29" s="5"/>
      <c r="S29" s="5"/>
    </row>
    <row r="30" spans="4:19" ht="12.75"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2.75">
      <c r="A31" t="s">
        <v>105</v>
      </c>
      <c r="B31" s="2" t="s">
        <v>134</v>
      </c>
      <c r="D31" s="5">
        <v>-53294</v>
      </c>
      <c r="E31" s="5"/>
      <c r="F31" s="5">
        <v>0</v>
      </c>
      <c r="G31" s="5"/>
      <c r="H31" s="5">
        <v>-53831</v>
      </c>
      <c r="I31" s="5"/>
      <c r="J31" s="5">
        <v>0</v>
      </c>
      <c r="K31" s="5"/>
      <c r="L31" s="5"/>
      <c r="M31" s="5"/>
      <c r="N31" s="5"/>
      <c r="O31" s="5"/>
      <c r="P31" s="5"/>
      <c r="Q31" s="5"/>
      <c r="R31" s="5"/>
      <c r="S31" s="5"/>
    </row>
    <row r="32" spans="4:19" ht="12.75">
      <c r="D32" s="30"/>
      <c r="E32" s="5"/>
      <c r="F32" s="30"/>
      <c r="G32" s="5"/>
      <c r="H32" s="30"/>
      <c r="I32" s="5"/>
      <c r="J32" s="30"/>
      <c r="K32" s="5"/>
      <c r="L32" s="5"/>
      <c r="M32" s="5"/>
      <c r="N32" s="5"/>
      <c r="O32" s="5"/>
      <c r="P32" s="5"/>
      <c r="Q32" s="5"/>
      <c r="R32" s="5"/>
      <c r="S32" s="5"/>
    </row>
    <row r="33" spans="1:19" ht="13.5" thickBot="1">
      <c r="A33" t="s">
        <v>13</v>
      </c>
      <c r="D33" s="23">
        <f>D29+D31</f>
        <v>1140846</v>
      </c>
      <c r="E33" s="5"/>
      <c r="F33" s="23">
        <f>F29-F31</f>
        <v>1140601</v>
      </c>
      <c r="G33" s="5"/>
      <c r="H33" s="23">
        <f>H29+H31</f>
        <v>2500843</v>
      </c>
      <c r="I33" s="5"/>
      <c r="J33" s="23">
        <f>J29-J31</f>
        <v>1783964.18</v>
      </c>
      <c r="K33" s="5"/>
      <c r="L33" s="5"/>
      <c r="M33" s="5"/>
      <c r="N33" s="5"/>
      <c r="O33" s="5"/>
      <c r="P33" s="5"/>
      <c r="Q33" s="5"/>
      <c r="R33" s="5"/>
      <c r="S33" s="5"/>
    </row>
    <row r="34" spans="4:19" ht="13.5" thickTop="1"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12.75">
      <c r="A35" t="s">
        <v>89</v>
      </c>
      <c r="D35" s="24">
        <v>255206530</v>
      </c>
      <c r="E35" s="5"/>
      <c r="F35" s="24">
        <v>185847432</v>
      </c>
      <c r="G35" s="5"/>
      <c r="H35" s="24">
        <v>229280487</v>
      </c>
      <c r="I35" s="5"/>
      <c r="J35" s="24">
        <v>141055253</v>
      </c>
      <c r="K35" s="5"/>
      <c r="L35" s="5"/>
      <c r="M35" s="5"/>
      <c r="N35" s="5"/>
      <c r="O35" s="5"/>
      <c r="P35" s="5"/>
      <c r="Q35" s="5"/>
      <c r="R35" s="5"/>
      <c r="S35" s="5"/>
    </row>
    <row r="36" spans="1:19" ht="12.75">
      <c r="A36" t="s">
        <v>86</v>
      </c>
      <c r="D36" s="24" t="s">
        <v>85</v>
      </c>
      <c r="E36" s="5"/>
      <c r="F36" s="24" t="s">
        <v>85</v>
      </c>
      <c r="G36" s="5"/>
      <c r="H36" s="24" t="s">
        <v>85</v>
      </c>
      <c r="I36" s="5"/>
      <c r="J36" s="24" t="s">
        <v>85</v>
      </c>
      <c r="K36" s="5"/>
      <c r="L36" s="5"/>
      <c r="M36" s="5"/>
      <c r="N36" s="5"/>
      <c r="O36" s="5"/>
      <c r="P36" s="5"/>
      <c r="Q36" s="5"/>
      <c r="R36" s="5"/>
      <c r="S36" s="5"/>
    </row>
    <row r="37" spans="4:19" ht="12.75"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12.75">
      <c r="A38" t="s">
        <v>14</v>
      </c>
      <c r="B38" s="2" t="s">
        <v>135</v>
      </c>
      <c r="C38" s="2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12.75">
      <c r="A39" s="1" t="s">
        <v>15</v>
      </c>
      <c r="B39" s="2"/>
      <c r="D39" s="12">
        <v>0.45</v>
      </c>
      <c r="E39" s="5"/>
      <c r="F39" s="12">
        <f>F29/F35*100</f>
        <v>0.6137297608718102</v>
      </c>
      <c r="G39" s="5"/>
      <c r="H39" s="73">
        <v>1.09</v>
      </c>
      <c r="I39" s="5"/>
      <c r="J39" s="12">
        <f>J29/J35*100</f>
        <v>1.2647272200490116</v>
      </c>
      <c r="K39" s="5"/>
      <c r="L39" s="5"/>
      <c r="M39" s="5"/>
      <c r="N39" s="5"/>
      <c r="O39" s="5"/>
      <c r="P39" s="5"/>
      <c r="Q39" s="5"/>
      <c r="R39" s="5"/>
      <c r="S39" s="5"/>
    </row>
    <row r="40" spans="1:19" ht="12.75">
      <c r="A40" s="1" t="s">
        <v>92</v>
      </c>
      <c r="D40" s="12">
        <v>0.44</v>
      </c>
      <c r="E40" s="5"/>
      <c r="F40" s="26" t="s">
        <v>93</v>
      </c>
      <c r="G40" s="24"/>
      <c r="H40" s="27">
        <v>1.07</v>
      </c>
      <c r="I40" s="24"/>
      <c r="J40" s="26" t="s">
        <v>93</v>
      </c>
      <c r="K40" s="5"/>
      <c r="L40" s="5"/>
      <c r="M40" s="5"/>
      <c r="N40" s="5"/>
      <c r="O40" s="5"/>
      <c r="P40" s="5"/>
      <c r="Q40" s="5"/>
      <c r="R40" s="5"/>
      <c r="S40" s="5"/>
    </row>
    <row r="41" spans="4:19" ht="12.75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12.75">
      <c r="A42" t="s">
        <v>80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12.75">
      <c r="A43" t="s">
        <v>82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4:19" ht="12.75"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4:19" ht="12.75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</sheetData>
  <mergeCells count="2">
    <mergeCell ref="D6:F6"/>
    <mergeCell ref="H6:J6"/>
  </mergeCells>
  <printOptions/>
  <pageMargins left="0.5" right="0" top="1" bottom="0.5" header="0.5" footer="0.5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="90" zoomScaleNormal="90" workbookViewId="0" topLeftCell="A1">
      <selection activeCell="F49" sqref="F49"/>
    </sheetView>
  </sheetViews>
  <sheetFormatPr defaultColWidth="9.140625" defaultRowHeight="12.75"/>
  <cols>
    <col min="1" max="1" width="37.140625" style="0" customWidth="1"/>
    <col min="2" max="2" width="7.421875" style="0" customWidth="1"/>
    <col min="3" max="3" width="4.28125" style="0" customWidth="1"/>
    <col min="4" max="4" width="13.28125" style="0" bestFit="1" customWidth="1"/>
    <col min="5" max="5" width="2.28125" style="0" customWidth="1"/>
    <col min="6" max="6" width="19.28125" style="0" bestFit="1" customWidth="1"/>
    <col min="8" max="8" width="4.7109375" style="0" bestFit="1" customWidth="1"/>
  </cols>
  <sheetData>
    <row r="1" ht="12.75">
      <c r="A1" s="71" t="s">
        <v>0</v>
      </c>
    </row>
    <row r="2" ht="12.75">
      <c r="A2" s="71" t="s">
        <v>16</v>
      </c>
    </row>
    <row r="3" ht="12.75">
      <c r="A3" s="71" t="s">
        <v>141</v>
      </c>
    </row>
    <row r="4" ht="12.75">
      <c r="A4" s="71" t="s">
        <v>76</v>
      </c>
    </row>
    <row r="6" spans="4:6" ht="12.75">
      <c r="D6" s="2"/>
      <c r="E6" s="2"/>
      <c r="F6" s="2"/>
    </row>
    <row r="7" spans="4:6" ht="12.75">
      <c r="D7" s="2"/>
      <c r="E7" s="2"/>
      <c r="F7" s="2"/>
    </row>
    <row r="8" spans="4:6" ht="12.75">
      <c r="D8" s="2" t="s">
        <v>17</v>
      </c>
      <c r="E8" s="2"/>
      <c r="F8" s="2" t="s">
        <v>75</v>
      </c>
    </row>
    <row r="9" spans="4:6" ht="12.75">
      <c r="D9" s="2" t="s">
        <v>18</v>
      </c>
      <c r="E9" s="2"/>
      <c r="F9" s="2" t="s">
        <v>23</v>
      </c>
    </row>
    <row r="10" spans="4:6" ht="12.75">
      <c r="D10" s="2" t="s">
        <v>19</v>
      </c>
      <c r="E10" s="2"/>
      <c r="F10" s="2" t="s">
        <v>20</v>
      </c>
    </row>
    <row r="11" spans="4:6" ht="12.75">
      <c r="D11" s="2" t="s">
        <v>21</v>
      </c>
      <c r="E11" s="2"/>
      <c r="F11" s="2" t="s">
        <v>22</v>
      </c>
    </row>
    <row r="12" spans="2:6" ht="14.25" thickBot="1">
      <c r="B12" s="3" t="s">
        <v>2</v>
      </c>
      <c r="D12" s="29" t="s">
        <v>101</v>
      </c>
      <c r="E12" s="2"/>
      <c r="F12" s="29" t="s">
        <v>90</v>
      </c>
    </row>
    <row r="13" spans="4:6" ht="12.75">
      <c r="D13" s="2" t="s">
        <v>4</v>
      </c>
      <c r="E13" s="2"/>
      <c r="F13" s="2" t="s">
        <v>4</v>
      </c>
    </row>
    <row r="15" ht="13.5">
      <c r="A15" s="4" t="s">
        <v>24</v>
      </c>
    </row>
    <row r="16" spans="1:8" ht="12.75">
      <c r="A16" t="s">
        <v>25</v>
      </c>
      <c r="D16" s="5">
        <v>13498006</v>
      </c>
      <c r="E16" s="5"/>
      <c r="F16" s="5">
        <v>14064469</v>
      </c>
      <c r="H16" s="5"/>
    </row>
    <row r="17" spans="1:6" ht="12.75">
      <c r="A17" t="s">
        <v>26</v>
      </c>
      <c r="D17" s="5">
        <f>400000-9468</f>
        <v>390532</v>
      </c>
      <c r="E17" s="5"/>
      <c r="F17" s="5">
        <v>390532</v>
      </c>
    </row>
    <row r="18" spans="1:6" ht="12.75">
      <c r="A18" t="s">
        <v>27</v>
      </c>
      <c r="D18" s="5">
        <v>1623556</v>
      </c>
      <c r="E18" s="5"/>
      <c r="F18" s="5">
        <v>1623556</v>
      </c>
    </row>
    <row r="19" spans="4:6" ht="12.75">
      <c r="D19" s="5"/>
      <c r="E19" s="5"/>
      <c r="F19" s="5"/>
    </row>
    <row r="20" spans="1:6" ht="12.75">
      <c r="A20" t="s">
        <v>28</v>
      </c>
      <c r="D20" s="5"/>
      <c r="E20" s="5"/>
      <c r="F20" s="5"/>
    </row>
    <row r="21" spans="1:6" ht="12.75">
      <c r="A21" t="s">
        <v>29</v>
      </c>
      <c r="D21" s="5">
        <f>3103437+1</f>
        <v>3103438</v>
      </c>
      <c r="E21" s="5"/>
      <c r="F21" s="5">
        <v>1857895</v>
      </c>
    </row>
    <row r="22" spans="1:6" ht="12.75">
      <c r="A22" t="s">
        <v>30</v>
      </c>
      <c r="D22" s="5">
        <v>10263109</v>
      </c>
      <c r="E22" s="5"/>
      <c r="F22" s="5">
        <v>8252328</v>
      </c>
    </row>
    <row r="23" spans="1:6" ht="12.75">
      <c r="A23" t="s">
        <v>31</v>
      </c>
      <c r="D23" s="5">
        <v>1521274</v>
      </c>
      <c r="E23" s="5"/>
      <c r="F23" s="5">
        <v>821051</v>
      </c>
    </row>
    <row r="24" spans="1:6" ht="12.75">
      <c r="A24" t="s">
        <v>32</v>
      </c>
      <c r="D24" s="5">
        <v>8621497</v>
      </c>
      <c r="E24" s="5"/>
      <c r="F24" s="5">
        <v>1857504</v>
      </c>
    </row>
    <row r="25" spans="1:6" ht="12.75">
      <c r="A25" t="s">
        <v>33</v>
      </c>
      <c r="D25" s="5">
        <v>4297563</v>
      </c>
      <c r="E25" s="5"/>
      <c r="F25" s="5">
        <v>1044405</v>
      </c>
    </row>
    <row r="26" spans="4:6" ht="12.75">
      <c r="D26" s="9">
        <f>SUM(D21:D25)</f>
        <v>27806881</v>
      </c>
      <c r="E26" s="5"/>
      <c r="F26" s="9">
        <f>SUM(F21:F25)</f>
        <v>13833183</v>
      </c>
    </row>
    <row r="27" spans="4:6" ht="12.75">
      <c r="D27" s="5"/>
      <c r="E27" s="5"/>
      <c r="F27" s="5"/>
    </row>
    <row r="28" spans="1:6" ht="12.75">
      <c r="A28" t="s">
        <v>34</v>
      </c>
      <c r="D28" s="5"/>
      <c r="E28" s="5"/>
      <c r="F28" s="5"/>
    </row>
    <row r="29" spans="1:6" ht="12.75">
      <c r="A29" t="s">
        <v>35</v>
      </c>
      <c r="D29" s="5">
        <v>1732080</v>
      </c>
      <c r="E29" s="5"/>
      <c r="F29" s="5">
        <v>5396220</v>
      </c>
    </row>
    <row r="30" spans="1:6" ht="12.75">
      <c r="A30" t="s">
        <v>36</v>
      </c>
      <c r="D30" s="5">
        <v>3791458</v>
      </c>
      <c r="E30" s="5"/>
      <c r="F30" s="5">
        <v>2019607</v>
      </c>
    </row>
    <row r="31" spans="1:6" ht="12.75">
      <c r="A31" t="s">
        <v>104</v>
      </c>
      <c r="D31" s="5">
        <v>39322</v>
      </c>
      <c r="E31" s="5"/>
      <c r="F31" s="5">
        <v>0</v>
      </c>
    </row>
    <row r="32" spans="1:6" ht="12.75">
      <c r="A32" t="s">
        <v>37</v>
      </c>
      <c r="B32" s="2" t="s">
        <v>136</v>
      </c>
      <c r="D32" s="5">
        <v>141603</v>
      </c>
      <c r="E32" s="5"/>
      <c r="F32" s="5">
        <v>239284</v>
      </c>
    </row>
    <row r="33" spans="4:6" ht="12.75">
      <c r="D33" s="9">
        <f>SUM(D29:D32)</f>
        <v>5704463</v>
      </c>
      <c r="E33" s="5"/>
      <c r="F33" s="9">
        <f>SUM(F29:F32)</f>
        <v>7655111</v>
      </c>
    </row>
    <row r="34" spans="4:6" ht="12.75">
      <c r="D34" s="5"/>
      <c r="E34" s="5"/>
      <c r="F34" s="5"/>
    </row>
    <row r="35" spans="1:6" ht="12.75">
      <c r="A35" t="s">
        <v>38</v>
      </c>
      <c r="D35" s="5">
        <f>D26-D33</f>
        <v>22102418</v>
      </c>
      <c r="E35" s="5"/>
      <c r="F35" s="5">
        <f>F26-F33</f>
        <v>6178072</v>
      </c>
    </row>
    <row r="36" spans="4:6" ht="12.75">
      <c r="D36" s="5"/>
      <c r="E36" s="5"/>
      <c r="F36" s="5"/>
    </row>
    <row r="37" spans="4:6" ht="13.5" thickBot="1">
      <c r="D37" s="10">
        <f>D16+D17+D18+D35</f>
        <v>37614512</v>
      </c>
      <c r="E37" s="5"/>
      <c r="F37" s="10">
        <f>F16+F17+F18+F35</f>
        <v>22256629</v>
      </c>
    </row>
    <row r="38" spans="4:6" ht="13.5" thickTop="1">
      <c r="D38" s="5"/>
      <c r="E38" s="5"/>
      <c r="F38" s="5"/>
    </row>
    <row r="39" spans="1:6" ht="13.5">
      <c r="A39" s="4" t="s">
        <v>39</v>
      </c>
      <c r="D39" s="5"/>
      <c r="E39" s="5"/>
      <c r="F39" s="5"/>
    </row>
    <row r="40" spans="1:6" ht="12.75">
      <c r="A40" t="s">
        <v>40</v>
      </c>
      <c r="D40" s="5">
        <v>25792078</v>
      </c>
      <c r="E40" s="5"/>
      <c r="F40" s="5">
        <v>18715178</v>
      </c>
    </row>
    <row r="41" spans="1:6" ht="12.75">
      <c r="A41" t="s">
        <v>95</v>
      </c>
      <c r="D41" s="5">
        <v>5858712</v>
      </c>
      <c r="E41" s="5"/>
      <c r="F41" s="5">
        <v>0</v>
      </c>
    </row>
    <row r="42" spans="1:6" ht="12.75">
      <c r="A42" t="s">
        <v>41</v>
      </c>
      <c r="D42" s="8">
        <f>3472348+2500843-9468-1</f>
        <v>5963722</v>
      </c>
      <c r="E42" s="5"/>
      <c r="F42" s="8">
        <v>3462879</v>
      </c>
    </row>
    <row r="43" spans="4:6" ht="12.75">
      <c r="D43" s="11">
        <f>D40+D41+D42</f>
        <v>37614512</v>
      </c>
      <c r="E43" s="5"/>
      <c r="F43" s="11">
        <f>F40+F42</f>
        <v>22178057</v>
      </c>
    </row>
    <row r="44" spans="1:6" ht="12.75">
      <c r="A44" t="s">
        <v>42</v>
      </c>
      <c r="D44" s="5"/>
      <c r="E44" s="5"/>
      <c r="F44" s="5"/>
    </row>
    <row r="45" spans="1:6" ht="12.75">
      <c r="A45" t="s">
        <v>37</v>
      </c>
      <c r="D45" s="5">
        <v>0</v>
      </c>
      <c r="E45" s="5"/>
      <c r="F45" s="5">
        <v>78572</v>
      </c>
    </row>
    <row r="46" spans="4:6" ht="13.5" thickBot="1">
      <c r="D46" s="10">
        <f>D43+D45</f>
        <v>37614512</v>
      </c>
      <c r="E46" s="5"/>
      <c r="F46" s="10">
        <f>F43+F45</f>
        <v>22256629</v>
      </c>
    </row>
    <row r="47" spans="4:6" ht="13.5" thickTop="1">
      <c r="D47" s="11"/>
      <c r="E47" s="5"/>
      <c r="F47" s="11"/>
    </row>
    <row r="48" spans="1:6" ht="12.75">
      <c r="A48" t="s">
        <v>84</v>
      </c>
      <c r="D48" s="5">
        <v>257920780</v>
      </c>
      <c r="E48" s="5"/>
      <c r="F48" s="5">
        <f>F40*10</f>
        <v>187151780</v>
      </c>
    </row>
    <row r="49" spans="1:6" ht="12.75">
      <c r="A49" t="s">
        <v>43</v>
      </c>
      <c r="D49" s="12">
        <f>(D43-D18)/D48*100</f>
        <v>13.954267663117333</v>
      </c>
      <c r="E49" s="5"/>
      <c r="F49" s="12">
        <f>(F43-F18)/F48*100</f>
        <v>10.982797491960804</v>
      </c>
    </row>
    <row r="50" spans="4:6" ht="12.75">
      <c r="D50" s="5"/>
      <c r="E50" s="5"/>
      <c r="F50" s="5"/>
    </row>
    <row r="51" spans="1:6" ht="12.75">
      <c r="A51" t="s">
        <v>81</v>
      </c>
      <c r="D51" s="5"/>
      <c r="E51" s="5"/>
      <c r="F51" s="5"/>
    </row>
    <row r="52" spans="1:6" ht="12.75">
      <c r="A52" t="s">
        <v>82</v>
      </c>
      <c r="D52" s="5"/>
      <c r="E52" s="5"/>
      <c r="F52" s="5"/>
    </row>
    <row r="53" spans="4:6" ht="12.75">
      <c r="D53" s="5"/>
      <c r="E53" s="5"/>
      <c r="F53" s="5"/>
    </row>
    <row r="54" spans="4:6" ht="12.75">
      <c r="D54" s="5"/>
      <c r="E54" s="5"/>
      <c r="F54" s="5"/>
    </row>
    <row r="55" spans="4:6" ht="12.75">
      <c r="D55" s="5"/>
      <c r="E55" s="5"/>
      <c r="F55" s="5"/>
    </row>
    <row r="56" spans="4:6" ht="12.75">
      <c r="D56" s="5"/>
      <c r="E56" s="5"/>
      <c r="F56" s="5"/>
    </row>
    <row r="57" spans="4:6" ht="12.75">
      <c r="D57" s="5"/>
      <c r="E57" s="5"/>
      <c r="F57" s="5"/>
    </row>
    <row r="58" spans="4:6" ht="12.75">
      <c r="D58" s="5"/>
      <c r="E58" s="5"/>
      <c r="F58" s="5"/>
    </row>
    <row r="59" spans="4:6" ht="12.75">
      <c r="D59" s="5"/>
      <c r="E59" s="5"/>
      <c r="F59" s="5"/>
    </row>
    <row r="60" spans="4:6" ht="12.75">
      <c r="D60" s="5"/>
      <c r="E60" s="5"/>
      <c r="F60" s="5"/>
    </row>
  </sheetData>
  <printOptions/>
  <pageMargins left="0.75" right="0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workbookViewId="0" topLeftCell="A22">
      <selection activeCell="C21" sqref="C21"/>
    </sheetView>
  </sheetViews>
  <sheetFormatPr defaultColWidth="9.140625" defaultRowHeight="12.75"/>
  <cols>
    <col min="1" max="1" width="26.421875" style="13" customWidth="1"/>
    <col min="2" max="2" width="29.57421875" style="13" customWidth="1"/>
    <col min="3" max="3" width="11.421875" style="13" customWidth="1"/>
    <col min="4" max="4" width="4.7109375" style="13" customWidth="1"/>
    <col min="5" max="5" width="5.28125" style="13" bestFit="1" customWidth="1"/>
    <col min="6" max="16384" width="4.7109375" style="13" customWidth="1"/>
  </cols>
  <sheetData>
    <row r="1" ht="12.75">
      <c r="A1" s="13" t="s">
        <v>0</v>
      </c>
    </row>
    <row r="2" ht="12.75">
      <c r="A2" s="13" t="s">
        <v>44</v>
      </c>
    </row>
    <row r="3" ht="12.75">
      <c r="A3" s="22" t="s">
        <v>141</v>
      </c>
    </row>
    <row r="4" ht="12.75">
      <c r="A4" s="13" t="s">
        <v>76</v>
      </c>
    </row>
    <row r="6" ht="13.5">
      <c r="C6" s="28" t="s">
        <v>101</v>
      </c>
    </row>
    <row r="7" ht="12.75">
      <c r="C7" s="14" t="s">
        <v>4</v>
      </c>
    </row>
    <row r="9" ht="12.75">
      <c r="A9" s="13" t="s">
        <v>45</v>
      </c>
    </row>
    <row r="10" spans="1:3" ht="12.75">
      <c r="A10" s="13" t="s">
        <v>46</v>
      </c>
      <c r="C10" s="13">
        <f>'IS'!H29</f>
        <v>2554674</v>
      </c>
    </row>
    <row r="11" ht="12.75">
      <c r="A11" s="13" t="s">
        <v>47</v>
      </c>
    </row>
    <row r="12" spans="1:3" ht="12.75">
      <c r="A12" s="13" t="s">
        <v>48</v>
      </c>
      <c r="C12" s="13">
        <v>2719131</v>
      </c>
    </row>
    <row r="13" spans="1:3" ht="12.75">
      <c r="A13" s="22" t="s">
        <v>88</v>
      </c>
      <c r="C13" s="13">
        <v>8619</v>
      </c>
    </row>
    <row r="14" spans="1:3" ht="12.75">
      <c r="A14" s="13" t="s">
        <v>49</v>
      </c>
      <c r="C14" s="15">
        <v>17625</v>
      </c>
    </row>
    <row r="15" spans="1:3" ht="12.75">
      <c r="A15" s="13" t="s">
        <v>50</v>
      </c>
      <c r="C15" s="13">
        <f>SUM(C10:C14)</f>
        <v>5300049</v>
      </c>
    </row>
    <row r="17" ht="12.75">
      <c r="A17" s="22" t="s">
        <v>107</v>
      </c>
    </row>
    <row r="18" spans="1:3" ht="12.75">
      <c r="A18" s="13" t="s">
        <v>51</v>
      </c>
      <c r="C18" s="16">
        <f>'BS'!F21-'BS'!D21</f>
        <v>-1245543</v>
      </c>
    </row>
    <row r="19" spans="1:6" ht="12.75">
      <c r="A19" s="13" t="s">
        <v>52</v>
      </c>
      <c r="C19" s="17">
        <f>'BS'!F22-'BS'!D22+'BS'!F23-'BS'!D23-2</f>
        <v>-2711006</v>
      </c>
      <c r="F19" s="22"/>
    </row>
    <row r="20" spans="1:3" ht="12.75">
      <c r="A20" s="13" t="s">
        <v>53</v>
      </c>
      <c r="C20" s="18">
        <f>'BS'!D29-'BS'!F29+'BS'!D30-'BS'!F30-2</f>
        <v>-1892291</v>
      </c>
    </row>
    <row r="21" ht="12.75">
      <c r="C21" s="19">
        <f>SUM(C18:C20)</f>
        <v>-5848840</v>
      </c>
    </row>
    <row r="22" spans="1:3" ht="12.75">
      <c r="A22" s="13" t="s">
        <v>54</v>
      </c>
      <c r="C22" s="13">
        <f>C15+C21</f>
        <v>-548791</v>
      </c>
    </row>
    <row r="23" spans="1:3" ht="12.75">
      <c r="A23" s="22" t="s">
        <v>77</v>
      </c>
      <c r="C23" s="21">
        <f>-C14</f>
        <v>-17625</v>
      </c>
    </row>
    <row r="24" spans="1:3" ht="12.75">
      <c r="A24" s="22" t="s">
        <v>108</v>
      </c>
      <c r="C24" s="21">
        <v>-14509</v>
      </c>
    </row>
    <row r="26" spans="1:3" ht="12.75">
      <c r="A26" s="22" t="s">
        <v>142</v>
      </c>
      <c r="C26" s="19">
        <f>SUM(C22:C25)</f>
        <v>-580925</v>
      </c>
    </row>
    <row r="28" ht="12.75">
      <c r="A28" s="22" t="s">
        <v>96</v>
      </c>
    </row>
    <row r="29" spans="1:3" ht="12.75">
      <c r="A29" s="13" t="s">
        <v>55</v>
      </c>
      <c r="C29" s="13">
        <v>-2161287</v>
      </c>
    </row>
    <row r="30" spans="1:3" ht="12.75">
      <c r="A30" s="22" t="s">
        <v>97</v>
      </c>
      <c r="C30" s="19">
        <f>C29</f>
        <v>-2161287</v>
      </c>
    </row>
    <row r="32" ht="12.75">
      <c r="A32" s="13" t="s">
        <v>56</v>
      </c>
    </row>
    <row r="33" spans="1:3" ht="12.75">
      <c r="A33" s="22" t="s">
        <v>98</v>
      </c>
      <c r="C33" s="13">
        <f>'BS'!D32-'BS'!F32+'BS'!D45-'BS'!F45</f>
        <v>-176253</v>
      </c>
    </row>
    <row r="34" spans="1:3" ht="12.75">
      <c r="A34" s="22" t="s">
        <v>99</v>
      </c>
      <c r="C34" s="13">
        <v>12935615</v>
      </c>
    </row>
    <row r="35" spans="1:3" ht="12.75">
      <c r="A35" s="22" t="s">
        <v>100</v>
      </c>
      <c r="C35" s="19">
        <f>C33+C34</f>
        <v>12759362</v>
      </c>
    </row>
    <row r="37" spans="1:3" ht="12.75">
      <c r="A37" s="13" t="s">
        <v>57</v>
      </c>
      <c r="C37" s="13">
        <f>C26+C30+C35+1</f>
        <v>10017151</v>
      </c>
    </row>
    <row r="38" spans="1:3" ht="12.75">
      <c r="A38" s="13" t="s">
        <v>58</v>
      </c>
      <c r="C38" s="13">
        <f>'BS'!F24+'BS'!F25</f>
        <v>2901909</v>
      </c>
    </row>
    <row r="39" spans="1:3" ht="13.5" thickBot="1">
      <c r="A39" s="13" t="s">
        <v>59</v>
      </c>
      <c r="C39" s="20">
        <f>SUM(C37:C38)</f>
        <v>12919060</v>
      </c>
    </row>
    <row r="41" ht="12.75">
      <c r="A41" s="13" t="s">
        <v>60</v>
      </c>
    </row>
    <row r="42" ht="12.75">
      <c r="A42" s="22" t="s">
        <v>78</v>
      </c>
    </row>
    <row r="44" ht="12.75">
      <c r="A44" s="22" t="s">
        <v>83</v>
      </c>
    </row>
    <row r="45" ht="12.75">
      <c r="A45" s="22" t="s">
        <v>79</v>
      </c>
    </row>
  </sheetData>
  <printOptions/>
  <pageMargins left="0.75" right="0" top="1" bottom="1" header="0.5" footer="0.5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workbookViewId="0" topLeftCell="A1">
      <selection activeCell="G23" sqref="G23"/>
    </sheetView>
  </sheetViews>
  <sheetFormatPr defaultColWidth="9.140625" defaultRowHeight="12.75"/>
  <cols>
    <col min="2" max="2" width="22.421875" style="0" customWidth="1"/>
    <col min="3" max="3" width="11.7109375" style="0" customWidth="1"/>
    <col min="4" max="4" width="2.28125" style="0" customWidth="1"/>
    <col min="5" max="5" width="12.00390625" style="0" customWidth="1"/>
    <col min="6" max="6" width="2.28125" style="0" customWidth="1"/>
    <col min="7" max="7" width="11.421875" style="0" customWidth="1"/>
    <col min="8" max="8" width="2.28125" style="0" customWidth="1"/>
    <col min="9" max="9" width="13.28125" style="0" customWidth="1"/>
  </cols>
  <sheetData>
    <row r="1" ht="12.75">
      <c r="A1" t="s">
        <v>0</v>
      </c>
    </row>
    <row r="2" ht="12.75">
      <c r="A2" t="s">
        <v>61</v>
      </c>
    </row>
    <row r="3" ht="12.75">
      <c r="A3" t="s">
        <v>141</v>
      </c>
    </row>
    <row r="4" ht="12.75">
      <c r="A4" t="s">
        <v>76</v>
      </c>
    </row>
    <row r="6" spans="3:9" ht="12.75">
      <c r="C6" s="2" t="s">
        <v>62</v>
      </c>
      <c r="D6" s="2"/>
      <c r="E6" s="2" t="s">
        <v>62</v>
      </c>
      <c r="F6" s="2"/>
      <c r="G6" s="2" t="s">
        <v>64</v>
      </c>
      <c r="H6" s="2"/>
      <c r="I6" s="2"/>
    </row>
    <row r="7" spans="3:9" ht="13.5" thickBot="1">
      <c r="C7" s="3" t="s">
        <v>63</v>
      </c>
      <c r="D7" s="2"/>
      <c r="E7" s="3" t="s">
        <v>91</v>
      </c>
      <c r="F7" s="2"/>
      <c r="G7" s="3" t="s">
        <v>65</v>
      </c>
      <c r="H7" s="2"/>
      <c r="I7" s="3" t="s">
        <v>66</v>
      </c>
    </row>
    <row r="8" spans="3:9" ht="12.75">
      <c r="C8" s="2" t="s">
        <v>4</v>
      </c>
      <c r="D8" s="2"/>
      <c r="E8" s="2" t="s">
        <v>4</v>
      </c>
      <c r="F8" s="2"/>
      <c r="G8" s="2" t="s">
        <v>4</v>
      </c>
      <c r="H8" s="2"/>
      <c r="I8" s="2" t="s">
        <v>4</v>
      </c>
    </row>
    <row r="10" spans="1:9" ht="12.75">
      <c r="A10" t="s">
        <v>87</v>
      </c>
      <c r="C10" s="5">
        <v>18715178</v>
      </c>
      <c r="D10" s="5"/>
      <c r="E10" s="5">
        <v>0</v>
      </c>
      <c r="F10" s="5"/>
      <c r="G10" s="5">
        <v>3462879</v>
      </c>
      <c r="H10" s="5"/>
      <c r="I10" s="5">
        <f>C10+G10</f>
        <v>22178057</v>
      </c>
    </row>
    <row r="11" spans="3:9" ht="12.75">
      <c r="C11" s="5"/>
      <c r="D11" s="5"/>
      <c r="E11" s="5"/>
      <c r="F11" s="5"/>
      <c r="G11" s="5"/>
      <c r="H11" s="5"/>
      <c r="I11" s="5"/>
    </row>
    <row r="12" spans="1:9" ht="12.75">
      <c r="A12" t="s">
        <v>67</v>
      </c>
      <c r="C12" s="5">
        <v>7076900</v>
      </c>
      <c r="D12" s="5"/>
      <c r="E12" s="5">
        <v>5858712</v>
      </c>
      <c r="F12" s="5"/>
      <c r="G12" s="5">
        <v>0</v>
      </c>
      <c r="H12" s="5"/>
      <c r="I12" s="5">
        <f>C12+E12+G12</f>
        <v>12935612</v>
      </c>
    </row>
    <row r="13" spans="3:9" ht="12.75">
      <c r="C13" s="5"/>
      <c r="D13" s="5"/>
      <c r="E13" s="5"/>
      <c r="F13" s="5"/>
      <c r="G13" s="5"/>
      <c r="H13" s="5"/>
      <c r="I13" s="5"/>
    </row>
    <row r="14" spans="1:9" ht="12.75">
      <c r="A14" t="s">
        <v>68</v>
      </c>
      <c r="C14" s="5">
        <v>0</v>
      </c>
      <c r="D14" s="5"/>
      <c r="E14" s="5">
        <v>0</v>
      </c>
      <c r="F14" s="5"/>
      <c r="G14" s="5">
        <v>2500843</v>
      </c>
      <c r="H14" s="5"/>
      <c r="I14" s="5">
        <f>C14+G14</f>
        <v>2500843</v>
      </c>
    </row>
    <row r="15" spans="3:9" ht="12.75">
      <c r="C15" s="5"/>
      <c r="D15" s="5"/>
      <c r="E15" s="5"/>
      <c r="F15" s="5"/>
      <c r="G15" s="5"/>
      <c r="H15" s="5"/>
      <c r="I15" s="5"/>
    </row>
    <row r="16" spans="1:9" ht="13.5" thickBot="1">
      <c r="A16" t="s">
        <v>103</v>
      </c>
      <c r="C16" s="10">
        <f>SUM(C10:C15)</f>
        <v>25792078</v>
      </c>
      <c r="D16" s="5"/>
      <c r="E16" s="10">
        <f>SUM(E10:E15)</f>
        <v>5858712</v>
      </c>
      <c r="F16" s="5"/>
      <c r="G16" s="10">
        <f>G10+G12+G14</f>
        <v>5963722</v>
      </c>
      <c r="H16" s="5"/>
      <c r="I16" s="10">
        <f>SUM(I10:I15)</f>
        <v>37614512</v>
      </c>
    </row>
    <row r="17" ht="13.5" thickTop="1"/>
    <row r="18" ht="12.75">
      <c r="A18" t="s">
        <v>69</v>
      </c>
    </row>
    <row r="19" ht="12.75">
      <c r="A19" t="s">
        <v>82</v>
      </c>
    </row>
  </sheetData>
  <printOptions/>
  <pageMargins left="0.75" right="0" top="1" bottom="0.25" header="0.5" footer="0.5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C5">
      <selection activeCell="K28" sqref="K28"/>
    </sheetView>
  </sheetViews>
  <sheetFormatPr defaultColWidth="9.140625" defaultRowHeight="12.75"/>
  <cols>
    <col min="1" max="1" width="11.00390625" style="44" customWidth="1"/>
    <col min="2" max="2" width="15.00390625" style="38" bestFit="1" customWidth="1"/>
    <col min="3" max="3" width="15.28125" style="38" bestFit="1" customWidth="1"/>
    <col min="4" max="4" width="11.57421875" style="39" bestFit="1" customWidth="1"/>
    <col min="5" max="5" width="1.28515625" style="39" customWidth="1"/>
    <col min="6" max="6" width="12.28125" style="38" bestFit="1" customWidth="1"/>
    <col min="7" max="7" width="11.57421875" style="38" bestFit="1" customWidth="1"/>
    <col min="8" max="8" width="14.00390625" style="36" bestFit="1" customWidth="1"/>
    <col min="9" max="9" width="2.00390625" style="36" customWidth="1"/>
    <col min="10" max="10" width="9.140625" style="36" customWidth="1"/>
    <col min="11" max="11" width="12.7109375" style="36" customWidth="1"/>
    <col min="12" max="12" width="8.140625" style="36" customWidth="1"/>
    <col min="13" max="14" width="9.140625" style="36" customWidth="1"/>
  </cols>
  <sheetData>
    <row r="1" ht="13.5">
      <c r="A1" s="37" t="s">
        <v>0</v>
      </c>
    </row>
    <row r="2" ht="13.5">
      <c r="A2" s="37" t="s">
        <v>109</v>
      </c>
    </row>
    <row r="3" ht="13.5">
      <c r="A3" s="37" t="s">
        <v>110</v>
      </c>
    </row>
    <row r="4" ht="12.75">
      <c r="A4" s="40"/>
    </row>
    <row r="6" spans="1:14" s="35" customFormat="1" ht="13.5">
      <c r="A6" s="41" t="s">
        <v>111</v>
      </c>
      <c r="B6" s="42" t="s">
        <v>120</v>
      </c>
      <c r="C6" s="42" t="s">
        <v>112</v>
      </c>
      <c r="D6" s="42" t="s">
        <v>113</v>
      </c>
      <c r="E6" s="42"/>
      <c r="F6" s="42"/>
      <c r="G6" s="42" t="s">
        <v>114</v>
      </c>
      <c r="H6" s="7"/>
      <c r="I6" s="7"/>
      <c r="J6" s="34" t="s">
        <v>116</v>
      </c>
      <c r="K6" s="43"/>
      <c r="L6" s="7"/>
      <c r="M6" s="7"/>
      <c r="N6" s="7"/>
    </row>
    <row r="7" spans="1:14" s="35" customFormat="1" ht="13.5">
      <c r="A7" s="41"/>
      <c r="B7" s="42"/>
      <c r="C7" s="42" t="s">
        <v>120</v>
      </c>
      <c r="D7" s="42"/>
      <c r="E7" s="42"/>
      <c r="F7" s="42"/>
      <c r="G7" s="42"/>
      <c r="H7" s="7"/>
      <c r="I7" s="7"/>
      <c r="J7" s="7"/>
      <c r="K7" s="7"/>
      <c r="L7" s="7"/>
      <c r="M7" s="7"/>
      <c r="N7" s="7"/>
    </row>
    <row r="8" ht="13.5" thickBot="1"/>
    <row r="9" spans="1:12" ht="15">
      <c r="A9" s="44">
        <v>37257</v>
      </c>
      <c r="B9" s="38">
        <v>101000000</v>
      </c>
      <c r="C9" s="38">
        <f>B9</f>
        <v>101000000</v>
      </c>
      <c r="D9" s="39">
        <v>1</v>
      </c>
      <c r="F9" s="38">
        <f>C9*D9/D15</f>
        <v>369963.36996337</v>
      </c>
      <c r="G9" s="38">
        <v>273</v>
      </c>
      <c r="H9" s="38">
        <f>B9*G9/D15</f>
        <v>101000000</v>
      </c>
      <c r="J9" s="45"/>
      <c r="K9" s="32"/>
      <c r="L9" s="46"/>
    </row>
    <row r="10" spans="1:12" ht="15">
      <c r="A10" s="44">
        <v>37258</v>
      </c>
      <c r="B10" s="38">
        <v>9001780</v>
      </c>
      <c r="C10" s="38">
        <f>C9+B10</f>
        <v>110001780</v>
      </c>
      <c r="D10" s="39">
        <v>148</v>
      </c>
      <c r="F10" s="38">
        <f>C10*D10/D15</f>
        <v>59634664.615384616</v>
      </c>
      <c r="G10" s="38">
        <v>272</v>
      </c>
      <c r="H10" s="38">
        <f>B10*G10/D15</f>
        <v>8968806.446886446</v>
      </c>
      <c r="J10" s="64" t="s">
        <v>118</v>
      </c>
      <c r="K10" s="31">
        <f>'IS'!J33</f>
        <v>1783964.18</v>
      </c>
      <c r="L10" s="48"/>
    </row>
    <row r="11" spans="1:12" ht="12.75">
      <c r="A11" s="44">
        <v>37406</v>
      </c>
      <c r="B11" s="38">
        <v>47150000</v>
      </c>
      <c r="C11" s="38">
        <f>C10+B11</f>
        <v>157151780</v>
      </c>
      <c r="D11" s="39">
        <v>36</v>
      </c>
      <c r="F11" s="38">
        <f>C11*D11/D15</f>
        <v>20723311.648351647</v>
      </c>
      <c r="G11" s="38">
        <v>124</v>
      </c>
      <c r="H11" s="38">
        <f>B11*G11/D15</f>
        <v>21416117.216117214</v>
      </c>
      <c r="J11" s="47"/>
      <c r="K11" s="33">
        <f>H15</f>
        <v>141055253.33333334</v>
      </c>
      <c r="L11" s="48"/>
    </row>
    <row r="12" spans="1:12" ht="12.75">
      <c r="A12" s="44">
        <v>37442</v>
      </c>
      <c r="B12" s="38">
        <v>30000000</v>
      </c>
      <c r="C12" s="38">
        <f>C11+B12</f>
        <v>187151780</v>
      </c>
      <c r="D12" s="39">
        <v>88</v>
      </c>
      <c r="F12" s="38">
        <f>C12*D12/D15</f>
        <v>60327313.6996337</v>
      </c>
      <c r="G12" s="38">
        <v>88</v>
      </c>
      <c r="H12" s="38">
        <f>B12*G12/D15</f>
        <v>9670329.67032967</v>
      </c>
      <c r="J12" s="47"/>
      <c r="K12" s="33"/>
      <c r="L12" s="48"/>
    </row>
    <row r="13" spans="8:12" ht="12.75">
      <c r="H13" s="38"/>
      <c r="J13" s="64" t="s">
        <v>125</v>
      </c>
      <c r="K13" s="49">
        <f>K10/K11*100</f>
        <v>1.2647272170602837</v>
      </c>
      <c r="L13" s="48"/>
    </row>
    <row r="14" spans="10:12" ht="13.5" thickBot="1">
      <c r="J14" s="50"/>
      <c r="K14" s="51"/>
      <c r="L14" s="52"/>
    </row>
    <row r="15" spans="4:12" ht="13.5" thickBot="1">
      <c r="D15" s="53">
        <v>273</v>
      </c>
      <c r="E15" s="54"/>
      <c r="F15" s="55">
        <f>SUM(F9:F12)</f>
        <v>141055253.3333333</v>
      </c>
      <c r="H15" s="55">
        <f>SUM(H9:H12)</f>
        <v>141055253.33333334</v>
      </c>
      <c r="J15" s="56"/>
      <c r="K15" s="49"/>
      <c r="L15" s="57"/>
    </row>
    <row r="16" ht="12.75">
      <c r="E16" s="54"/>
    </row>
    <row r="17" ht="12.75">
      <c r="E17" s="54"/>
    </row>
    <row r="18" spans="5:10" ht="13.5">
      <c r="E18" s="54"/>
      <c r="J18" s="4" t="s">
        <v>119</v>
      </c>
    </row>
    <row r="19" ht="12.75">
      <c r="E19" s="54"/>
    </row>
    <row r="20" spans="1:5" ht="13.5" thickBot="1">
      <c r="A20" s="40"/>
      <c r="E20" s="54"/>
    </row>
    <row r="21" spans="1:12" ht="12.75">
      <c r="A21" s="44">
        <v>37438</v>
      </c>
      <c r="B21" s="38">
        <v>157151780</v>
      </c>
      <c r="C21" s="38">
        <f>B21</f>
        <v>157151780</v>
      </c>
      <c r="D21" s="39">
        <v>4</v>
      </c>
      <c r="E21" s="54"/>
      <c r="F21" s="38">
        <f>C21*D21/D26</f>
        <v>6832686.0869565215</v>
      </c>
      <c r="G21" s="38">
        <v>92</v>
      </c>
      <c r="H21" s="38">
        <f>B21*G21/D26</f>
        <v>157151780</v>
      </c>
      <c r="J21" s="58"/>
      <c r="K21" s="59"/>
      <c r="L21" s="46"/>
    </row>
    <row r="22" spans="1:12" ht="15">
      <c r="A22" s="44">
        <v>37442</v>
      </c>
      <c r="B22" s="33">
        <v>30000000</v>
      </c>
      <c r="C22" s="38">
        <f>C21+B22</f>
        <v>187151780</v>
      </c>
      <c r="D22" s="39">
        <v>88</v>
      </c>
      <c r="E22" s="54"/>
      <c r="F22" s="38">
        <f>C22*D22/D26</f>
        <v>179014746.08695653</v>
      </c>
      <c r="G22" s="38">
        <v>88</v>
      </c>
      <c r="H22" s="60">
        <f>B22*G22/D26</f>
        <v>28695652.173913043</v>
      </c>
      <c r="J22" s="64" t="s">
        <v>118</v>
      </c>
      <c r="K22" s="31">
        <f>'IS'!F33</f>
        <v>1140601</v>
      </c>
      <c r="L22" s="48"/>
    </row>
    <row r="23" spans="2:12" ht="12.75">
      <c r="B23" s="33"/>
      <c r="E23" s="54"/>
      <c r="H23" s="60"/>
      <c r="J23" s="47"/>
      <c r="K23" s="33">
        <f>H26</f>
        <v>185847432.17391303</v>
      </c>
      <c r="L23" s="48"/>
    </row>
    <row r="24" spans="2:12" ht="12.75">
      <c r="B24" s="33"/>
      <c r="E24" s="54"/>
      <c r="H24" s="60"/>
      <c r="J24" s="47"/>
      <c r="K24" s="33"/>
      <c r="L24" s="48"/>
    </row>
    <row r="25" spans="5:12" ht="12.75">
      <c r="E25" s="54"/>
      <c r="J25" s="64" t="s">
        <v>125</v>
      </c>
      <c r="K25" s="49">
        <f>K22/K23*100</f>
        <v>0.6137297602974917</v>
      </c>
      <c r="L25" s="48"/>
    </row>
    <row r="26" spans="4:12" ht="13.5" thickBot="1">
      <c r="D26" s="53">
        <v>92</v>
      </c>
      <c r="E26" s="54"/>
      <c r="F26" s="55">
        <f>SUM(F21:F22)</f>
        <v>185847432.17391306</v>
      </c>
      <c r="H26" s="55">
        <f>SUM(H21:H22)</f>
        <v>185847432.17391303</v>
      </c>
      <c r="J26" s="50"/>
      <c r="K26" s="61"/>
      <c r="L26" s="52"/>
    </row>
    <row r="27" spans="2:12" ht="12.75">
      <c r="B27" s="62"/>
      <c r="J27" s="56"/>
      <c r="K27" s="57"/>
      <c r="L27" s="5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3"/>
  <sheetViews>
    <sheetView workbookViewId="0" topLeftCell="D23">
      <selection activeCell="L27" sqref="L27"/>
    </sheetView>
  </sheetViews>
  <sheetFormatPr defaultColWidth="9.140625" defaultRowHeight="12.75"/>
  <cols>
    <col min="1" max="1" width="11.00390625" style="44" customWidth="1"/>
    <col min="2" max="2" width="15.00390625" style="38" bestFit="1" customWidth="1"/>
    <col min="3" max="3" width="15.28125" style="38" bestFit="1" customWidth="1"/>
    <col min="4" max="4" width="11.57421875" style="39" bestFit="1" customWidth="1"/>
    <col min="5" max="5" width="1.28515625" style="39" customWidth="1"/>
    <col min="6" max="6" width="12.28125" style="38" bestFit="1" customWidth="1"/>
    <col min="7" max="7" width="11.57421875" style="38" bestFit="1" customWidth="1"/>
    <col min="8" max="8" width="14.00390625" style="36" bestFit="1" customWidth="1"/>
    <col min="9" max="9" width="2.00390625" style="36" customWidth="1"/>
    <col min="10" max="10" width="13.140625" style="36" bestFit="1" customWidth="1"/>
    <col min="11" max="11" width="12.7109375" style="36" customWidth="1"/>
    <col min="12" max="12" width="10.57421875" style="36" customWidth="1"/>
    <col min="13" max="63" width="9.140625" style="36" customWidth="1"/>
  </cols>
  <sheetData>
    <row r="1" ht="13.5">
      <c r="A1" s="37" t="s">
        <v>0</v>
      </c>
    </row>
    <row r="2" ht="13.5">
      <c r="A2" s="37" t="s">
        <v>109</v>
      </c>
    </row>
    <row r="3" ht="13.5">
      <c r="A3" s="63" t="s">
        <v>121</v>
      </c>
    </row>
    <row r="4" ht="12.75">
      <c r="A4" s="40"/>
    </row>
    <row r="6" spans="1:63" s="35" customFormat="1" ht="13.5">
      <c r="A6" s="41" t="s">
        <v>111</v>
      </c>
      <c r="B6" s="42" t="s">
        <v>120</v>
      </c>
      <c r="C6" s="42" t="s">
        <v>112</v>
      </c>
      <c r="D6" s="42" t="s">
        <v>113</v>
      </c>
      <c r="E6" s="42"/>
      <c r="F6" s="42"/>
      <c r="G6" s="42" t="s">
        <v>114</v>
      </c>
      <c r="H6" s="7"/>
      <c r="I6" s="7"/>
      <c r="J6" s="34" t="s">
        <v>115</v>
      </c>
      <c r="K6" s="43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</row>
    <row r="7" spans="1:63" s="35" customFormat="1" ht="13.5">
      <c r="A7" s="41"/>
      <c r="B7" s="42"/>
      <c r="C7" s="42" t="s">
        <v>120</v>
      </c>
      <c r="D7" s="42"/>
      <c r="E7" s="42"/>
      <c r="F7" s="42"/>
      <c r="G7" s="42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</row>
    <row r="8" ht="13.5" thickBot="1"/>
    <row r="9" spans="1:12" ht="15">
      <c r="A9" s="44">
        <v>37803</v>
      </c>
      <c r="B9" s="38">
        <v>250706780</v>
      </c>
      <c r="C9" s="38">
        <f>B9</f>
        <v>250706780</v>
      </c>
      <c r="D9" s="39">
        <v>9</v>
      </c>
      <c r="F9" s="38">
        <f>C9*D9/D15</f>
        <v>24525663.260869566</v>
      </c>
      <c r="G9" s="38">
        <v>92</v>
      </c>
      <c r="H9" s="38">
        <f>B9*G9/D15</f>
        <v>250706780</v>
      </c>
      <c r="J9" s="45"/>
      <c r="K9" s="32"/>
      <c r="L9" s="46"/>
    </row>
    <row r="10" spans="1:12" ht="15">
      <c r="A10" s="44">
        <v>37812</v>
      </c>
      <c r="B10" s="38">
        <v>2314000</v>
      </c>
      <c r="C10" s="38">
        <f>C9+B10</f>
        <v>253020780</v>
      </c>
      <c r="D10" s="39">
        <v>28</v>
      </c>
      <c r="F10" s="38">
        <f>C10*D10/D15</f>
        <v>77006324.3478261</v>
      </c>
      <c r="G10" s="38">
        <v>83</v>
      </c>
      <c r="H10" s="38">
        <f>B10*G10/D15</f>
        <v>2087630.4347826086</v>
      </c>
      <c r="J10" s="64" t="s">
        <v>124</v>
      </c>
      <c r="K10" s="31">
        <f>'IS'!D33</f>
        <v>1140846</v>
      </c>
      <c r="L10" s="48"/>
    </row>
    <row r="11" spans="1:12" ht="12.75">
      <c r="A11" s="44">
        <v>37840</v>
      </c>
      <c r="B11" s="38">
        <v>3470000</v>
      </c>
      <c r="C11" s="38">
        <f>C10+B11</f>
        <v>256490780</v>
      </c>
      <c r="D11" s="39">
        <v>33</v>
      </c>
      <c r="F11" s="38">
        <f>C11*D11/D15</f>
        <v>92002127.60869566</v>
      </c>
      <c r="G11" s="38">
        <v>55</v>
      </c>
      <c r="H11" s="38">
        <f>B11*G11/D15</f>
        <v>2074456.5217391304</v>
      </c>
      <c r="J11" s="47"/>
      <c r="K11" s="33">
        <f>H15</f>
        <v>255206529.99999997</v>
      </c>
      <c r="L11" s="48"/>
    </row>
    <row r="12" spans="1:12" ht="12.75">
      <c r="A12" s="44">
        <v>37873</v>
      </c>
      <c r="B12" s="38">
        <v>1035000</v>
      </c>
      <c r="C12" s="38">
        <f>C11+B12</f>
        <v>257525780</v>
      </c>
      <c r="D12" s="39">
        <v>1</v>
      </c>
      <c r="F12" s="38">
        <f>C12*D12/D15</f>
        <v>2799193.2608695654</v>
      </c>
      <c r="G12" s="38">
        <v>22</v>
      </c>
      <c r="H12" s="38">
        <f>B12*G12/D15</f>
        <v>247500</v>
      </c>
      <c r="J12" s="47"/>
      <c r="K12" s="33"/>
      <c r="L12" s="48"/>
    </row>
    <row r="13" spans="1:12" ht="12.75">
      <c r="A13" s="44">
        <v>37874</v>
      </c>
      <c r="B13" s="38">
        <v>395000</v>
      </c>
      <c r="C13" s="38">
        <f>C12+B13</f>
        <v>257920780</v>
      </c>
      <c r="D13" s="39">
        <v>21</v>
      </c>
      <c r="F13" s="38">
        <f>C13*D13/D15</f>
        <v>58873221.52173913</v>
      </c>
      <c r="G13" s="38">
        <v>21</v>
      </c>
      <c r="H13" s="38">
        <f>B13*G13/D15</f>
        <v>90163.04347826086</v>
      </c>
      <c r="J13" s="47" t="s">
        <v>117</v>
      </c>
      <c r="K13" s="49">
        <f>K10/K11*100</f>
        <v>0.4470285301869039</v>
      </c>
      <c r="L13" s="48"/>
    </row>
    <row r="14" spans="10:12" ht="13.5" thickBot="1">
      <c r="J14" s="50"/>
      <c r="K14" s="51"/>
      <c r="L14" s="52"/>
    </row>
    <row r="15" spans="4:12" ht="13.5" thickBot="1">
      <c r="D15" s="53">
        <f>SUM(D9:D13)</f>
        <v>92</v>
      </c>
      <c r="E15" s="54"/>
      <c r="F15" s="55">
        <f>SUM(F9:F13)</f>
        <v>255206530</v>
      </c>
      <c r="G15" s="68" t="s">
        <v>129</v>
      </c>
      <c r="H15" s="55">
        <f>SUM(H9:H13)</f>
        <v>255206529.99999997</v>
      </c>
      <c r="J15" s="56"/>
      <c r="K15" s="49"/>
      <c r="L15" s="57"/>
    </row>
    <row r="16" ht="12.75">
      <c r="E16" s="54"/>
    </row>
    <row r="17" ht="12.75">
      <c r="E17" s="54"/>
    </row>
    <row r="18" spans="5:10" ht="13.5">
      <c r="E18" s="54"/>
      <c r="J18" s="4" t="s">
        <v>122</v>
      </c>
    </row>
    <row r="19" ht="12.75">
      <c r="E19" s="54"/>
    </row>
    <row r="20" spans="1:5" ht="13.5" thickBot="1">
      <c r="A20" s="40"/>
      <c r="E20" s="54"/>
    </row>
    <row r="21" spans="1:12" ht="12.75">
      <c r="A21" s="44">
        <v>37803</v>
      </c>
      <c r="B21" s="38">
        <f>F41</f>
        <v>6901947.286012527</v>
      </c>
      <c r="C21" s="38">
        <f>250706780+B21</f>
        <v>257608727.28601253</v>
      </c>
      <c r="D21" s="39">
        <v>9</v>
      </c>
      <c r="E21" s="54"/>
      <c r="F21" s="38">
        <f>C21*D21/D29</f>
        <v>25200853.756240357</v>
      </c>
      <c r="G21" s="38">
        <v>92</v>
      </c>
      <c r="H21" s="38">
        <f>B21*G21/D29</f>
        <v>6901947.286012527</v>
      </c>
      <c r="J21" s="58"/>
      <c r="K21" s="59"/>
      <c r="L21" s="46"/>
    </row>
    <row r="22" spans="1:12" ht="15">
      <c r="A22" s="44">
        <v>37812</v>
      </c>
      <c r="B22" s="33">
        <v>2314000</v>
      </c>
      <c r="C22" s="38">
        <f>C21+B22</f>
        <v>259922727.28601253</v>
      </c>
      <c r="D22" s="39">
        <v>28</v>
      </c>
      <c r="E22" s="54"/>
      <c r="F22" s="38">
        <f>C22*D22/D29</f>
        <v>79106917.00009076</v>
      </c>
      <c r="G22" s="38">
        <v>0</v>
      </c>
      <c r="H22" s="38">
        <v>0</v>
      </c>
      <c r="J22" s="64" t="s">
        <v>123</v>
      </c>
      <c r="K22" s="31">
        <f>'IS'!D33</f>
        <v>1140846</v>
      </c>
      <c r="L22" s="48"/>
    </row>
    <row r="23" spans="1:12" ht="12.75">
      <c r="A23" s="44">
        <v>37840</v>
      </c>
      <c r="B23" s="33">
        <v>3470000</v>
      </c>
      <c r="C23" s="38">
        <f>C22+B23</f>
        <v>263392727.28601253</v>
      </c>
      <c r="D23" s="39">
        <v>33</v>
      </c>
      <c r="E23" s="54"/>
      <c r="F23" s="38">
        <f>C23*D23/D29</f>
        <v>94477826.09172189</v>
      </c>
      <c r="G23" s="38">
        <v>0</v>
      </c>
      <c r="H23" s="38">
        <v>0</v>
      </c>
      <c r="J23" s="47"/>
      <c r="K23" s="33">
        <f>H29</f>
        <v>262108477.2860125</v>
      </c>
      <c r="L23" s="48"/>
    </row>
    <row r="24" spans="1:12" ht="12.75">
      <c r="A24" s="44">
        <v>37873</v>
      </c>
      <c r="B24" s="33">
        <v>1035000</v>
      </c>
      <c r="C24" s="38">
        <f>C23+B24</f>
        <v>264427727.28601253</v>
      </c>
      <c r="D24" s="39">
        <v>1</v>
      </c>
      <c r="E24" s="54"/>
      <c r="F24" s="38">
        <f>C24*D24/D29</f>
        <v>2874214.4270218755</v>
      </c>
      <c r="G24" s="38">
        <v>0</v>
      </c>
      <c r="H24" s="38">
        <v>0</v>
      </c>
      <c r="J24" s="47"/>
      <c r="K24" s="33"/>
      <c r="L24" s="48"/>
    </row>
    <row r="25" spans="1:12" ht="12.75">
      <c r="A25" s="44">
        <v>37874</v>
      </c>
      <c r="B25" s="38">
        <v>395000</v>
      </c>
      <c r="C25" s="38">
        <f>C24+B25</f>
        <v>264822727.28601253</v>
      </c>
      <c r="D25" s="39">
        <v>21</v>
      </c>
      <c r="E25" s="54"/>
      <c r="F25" s="38">
        <f>C25*D25/D29</f>
        <v>60448666.01093764</v>
      </c>
      <c r="G25" s="38">
        <v>0</v>
      </c>
      <c r="H25" s="38">
        <v>0</v>
      </c>
      <c r="J25" s="47" t="s">
        <v>117</v>
      </c>
      <c r="K25" s="49">
        <f>K22/K23*100</f>
        <v>0.4352571926756531</v>
      </c>
      <c r="L25" s="48"/>
    </row>
    <row r="26" spans="5:12" ht="12.75">
      <c r="E26" s="54"/>
      <c r="J26" s="47"/>
      <c r="K26" s="57"/>
      <c r="L26" s="48"/>
    </row>
    <row r="27" spans="4:12" ht="13.5" thickBot="1">
      <c r="D27" s="54"/>
      <c r="E27" s="54"/>
      <c r="F27" s="33"/>
      <c r="G27" s="68" t="s">
        <v>128</v>
      </c>
      <c r="H27" s="69">
        <f>SUM(H21:H25)</f>
        <v>6901947.286012527</v>
      </c>
      <c r="J27" s="50"/>
      <c r="K27" s="61"/>
      <c r="L27" s="52"/>
    </row>
    <row r="28" spans="2:12" ht="12.75">
      <c r="B28" s="62"/>
      <c r="J28" s="56"/>
      <c r="K28" s="57"/>
      <c r="L28" s="57"/>
    </row>
    <row r="29" spans="4:8" ht="13.5" thickBot="1">
      <c r="D29" s="53">
        <f>SUM(D21:D27)</f>
        <v>92</v>
      </c>
      <c r="E29" s="54"/>
      <c r="F29" s="55">
        <f>SUM(F21:F27)</f>
        <v>262108477.2860125</v>
      </c>
      <c r="G29" s="68" t="s">
        <v>130</v>
      </c>
      <c r="H29" s="55">
        <f>H15+H27</f>
        <v>262108477.2860125</v>
      </c>
    </row>
    <row r="30" spans="7:8" ht="12.75">
      <c r="G30" s="68"/>
      <c r="H30" s="38"/>
    </row>
    <row r="31" spans="7:8" ht="12.75">
      <c r="G31" s="68"/>
      <c r="H31" s="38"/>
    </row>
    <row r="32" spans="7:8" ht="12.75">
      <c r="G32" s="68"/>
      <c r="H32" s="38"/>
    </row>
    <row r="34" spans="1:6" ht="12.75">
      <c r="A34" s="40" t="s">
        <v>131</v>
      </c>
      <c r="F34" s="38">
        <v>22260000</v>
      </c>
    </row>
    <row r="35" spans="1:6" ht="12.75">
      <c r="A35" s="40" t="s">
        <v>126</v>
      </c>
      <c r="F35" s="65">
        <v>7769000</v>
      </c>
    </row>
    <row r="36" spans="1:6" ht="12.75">
      <c r="A36" s="40"/>
      <c r="F36" s="38">
        <f>F34-F35</f>
        <v>14491000</v>
      </c>
    </row>
    <row r="37" ht="12.75">
      <c r="A37" s="40" t="s">
        <v>140</v>
      </c>
    </row>
    <row r="38" spans="1:8" ht="12.75">
      <c r="A38" s="40" t="s">
        <v>137</v>
      </c>
      <c r="C38" s="38">
        <v>12506000</v>
      </c>
      <c r="F38" s="66">
        <f>C38*0.2/0.3832</f>
        <v>6527139.87473904</v>
      </c>
      <c r="H38" s="66">
        <f>C38-F38</f>
        <v>5978860.12526096</v>
      </c>
    </row>
    <row r="39" spans="1:8" ht="12.75">
      <c r="A39" s="40" t="s">
        <v>138</v>
      </c>
      <c r="C39" s="38">
        <v>1985000</v>
      </c>
      <c r="F39" s="67">
        <f>C39*0.205/0.3832</f>
        <v>1061912.8392484342</v>
      </c>
      <c r="H39" s="67">
        <f>C39-F39</f>
        <v>923087.1607515658</v>
      </c>
    </row>
    <row r="40" spans="1:8" ht="12.75">
      <c r="A40" s="40"/>
      <c r="F40" s="38">
        <f>F38+F39</f>
        <v>7589052.713987473</v>
      </c>
      <c r="H40" s="38">
        <f>H38+H39</f>
        <v>6901947.286012527</v>
      </c>
    </row>
    <row r="41" spans="1:6" ht="13.5" thickBot="1">
      <c r="A41" s="40" t="s">
        <v>127</v>
      </c>
      <c r="F41" s="55">
        <f>F36-F40</f>
        <v>6901947.286012527</v>
      </c>
    </row>
    <row r="42" ht="12.75">
      <c r="A42" s="40"/>
    </row>
    <row r="43" ht="12.75">
      <c r="A43" s="40"/>
    </row>
  </sheetData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7"/>
  <sheetViews>
    <sheetView workbookViewId="0" topLeftCell="E3">
      <selection activeCell="K18" sqref="K18"/>
    </sheetView>
  </sheetViews>
  <sheetFormatPr defaultColWidth="9.140625" defaultRowHeight="12.75"/>
  <cols>
    <col min="1" max="1" width="11.00390625" style="44" customWidth="1"/>
    <col min="2" max="2" width="15.00390625" style="38" bestFit="1" customWidth="1"/>
    <col min="3" max="3" width="15.28125" style="38" bestFit="1" customWidth="1"/>
    <col min="4" max="4" width="11.57421875" style="39" bestFit="1" customWidth="1"/>
    <col min="5" max="5" width="1.28515625" style="39" customWidth="1"/>
    <col min="6" max="6" width="12.28125" style="38" bestFit="1" customWidth="1"/>
    <col min="7" max="7" width="11.57421875" style="38" bestFit="1" customWidth="1"/>
    <col min="8" max="8" width="14.00390625" style="36" bestFit="1" customWidth="1"/>
    <col min="9" max="9" width="2.00390625" style="36" customWidth="1"/>
    <col min="10" max="10" width="13.140625" style="36" bestFit="1" customWidth="1"/>
    <col min="11" max="11" width="12.7109375" style="36" customWidth="1"/>
    <col min="12" max="12" width="10.57421875" style="36" customWidth="1"/>
    <col min="13" max="63" width="9.140625" style="36" customWidth="1"/>
  </cols>
  <sheetData>
    <row r="1" ht="13.5">
      <c r="A1" s="37" t="s">
        <v>0</v>
      </c>
    </row>
    <row r="2" ht="13.5">
      <c r="A2" s="37" t="s">
        <v>109</v>
      </c>
    </row>
    <row r="3" ht="13.5">
      <c r="A3" s="63" t="s">
        <v>132</v>
      </c>
    </row>
    <row r="4" ht="12.75">
      <c r="A4" s="40"/>
    </row>
    <row r="6" spans="1:63" s="35" customFormat="1" ht="13.5">
      <c r="A6" s="41" t="s">
        <v>111</v>
      </c>
      <c r="B6" s="42" t="s">
        <v>120</v>
      </c>
      <c r="C6" s="42" t="s">
        <v>112</v>
      </c>
      <c r="D6" s="42" t="s">
        <v>113</v>
      </c>
      <c r="E6" s="42"/>
      <c r="F6" s="42"/>
      <c r="G6" s="42" t="s">
        <v>114</v>
      </c>
      <c r="H6" s="7"/>
      <c r="I6" s="7"/>
      <c r="J6" s="34" t="s">
        <v>115</v>
      </c>
      <c r="K6" s="43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</row>
    <row r="7" spans="1:63" s="35" customFormat="1" ht="13.5">
      <c r="A7" s="41"/>
      <c r="B7" s="42"/>
      <c r="C7" s="42" t="s">
        <v>120</v>
      </c>
      <c r="D7" s="42"/>
      <c r="E7" s="42"/>
      <c r="F7" s="42"/>
      <c r="G7" s="42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</row>
    <row r="8" ht="13.5" thickBot="1"/>
    <row r="9" spans="1:12" ht="15">
      <c r="A9" s="44">
        <v>37622</v>
      </c>
      <c r="B9" s="38">
        <v>187151780</v>
      </c>
      <c r="C9" s="38">
        <f>B9</f>
        <v>187151780</v>
      </c>
      <c r="D9" s="39">
        <v>98</v>
      </c>
      <c r="F9" s="38">
        <f>C9*D9/D17</f>
        <v>67182690.25641026</v>
      </c>
      <c r="G9" s="38">
        <v>273</v>
      </c>
      <c r="H9" s="38">
        <f>B9*G9/D17</f>
        <v>187151780</v>
      </c>
      <c r="J9" s="45"/>
      <c r="K9" s="32"/>
      <c r="L9" s="46"/>
    </row>
    <row r="10" spans="1:12" ht="15">
      <c r="A10" s="44">
        <v>37720</v>
      </c>
      <c r="B10" s="38">
        <v>63000000</v>
      </c>
      <c r="C10" s="38">
        <f aca="true" t="shared" si="0" ref="C10:C15">C9+B10</f>
        <v>250151780</v>
      </c>
      <c r="D10" s="39">
        <v>63</v>
      </c>
      <c r="F10" s="38">
        <f>C10*D10/D17</f>
        <v>57727333.84615385</v>
      </c>
      <c r="G10" s="38">
        <v>175</v>
      </c>
      <c r="H10" s="38">
        <f>B10*G10/D17</f>
        <v>40384615.384615384</v>
      </c>
      <c r="J10" s="64" t="s">
        <v>124</v>
      </c>
      <c r="K10" s="31">
        <f>'IS'!H33</f>
        <v>2500843</v>
      </c>
      <c r="L10" s="48"/>
    </row>
    <row r="11" spans="1:12" ht="12.75">
      <c r="A11" s="44">
        <v>37783</v>
      </c>
      <c r="B11" s="38">
        <v>555000</v>
      </c>
      <c r="C11" s="38">
        <f t="shared" si="0"/>
        <v>250706780</v>
      </c>
      <c r="D11" s="39">
        <v>29</v>
      </c>
      <c r="F11" s="38">
        <f>C11*D11/D17</f>
        <v>26631855.75091575</v>
      </c>
      <c r="G11" s="38">
        <v>112</v>
      </c>
      <c r="H11" s="38">
        <f>B11*G11/D17</f>
        <v>227692.3076923077</v>
      </c>
      <c r="J11" s="47"/>
      <c r="K11" s="33">
        <f>H17</f>
        <v>229280486.95970696</v>
      </c>
      <c r="L11" s="48"/>
    </row>
    <row r="12" spans="1:12" ht="12.75">
      <c r="A12" s="44">
        <v>37812</v>
      </c>
      <c r="B12" s="38">
        <v>2314000</v>
      </c>
      <c r="C12" s="38">
        <f t="shared" si="0"/>
        <v>253020780</v>
      </c>
      <c r="D12" s="39">
        <v>28</v>
      </c>
      <c r="F12" s="38">
        <f>C12*D12/D17</f>
        <v>25950849.230769232</v>
      </c>
      <c r="G12" s="38">
        <v>83</v>
      </c>
      <c r="H12" s="38">
        <f>B12*G12/D17</f>
        <v>703523.8095238095</v>
      </c>
      <c r="J12" s="47"/>
      <c r="K12" s="33"/>
      <c r="L12" s="48"/>
    </row>
    <row r="13" spans="1:12" ht="12.75">
      <c r="A13" s="44">
        <v>37840</v>
      </c>
      <c r="B13" s="38">
        <v>3470000</v>
      </c>
      <c r="C13" s="38">
        <f t="shared" si="0"/>
        <v>256490780</v>
      </c>
      <c r="D13" s="39">
        <v>33</v>
      </c>
      <c r="F13" s="38">
        <f>C13*D13/D17</f>
        <v>31004380</v>
      </c>
      <c r="G13" s="38">
        <v>55</v>
      </c>
      <c r="H13" s="38">
        <f>B13*G13/D17</f>
        <v>699084.2490842491</v>
      </c>
      <c r="J13" s="47" t="s">
        <v>117</v>
      </c>
      <c r="K13" s="49">
        <f>K10/K11*100</f>
        <v>1.090735209594827</v>
      </c>
      <c r="L13" s="48"/>
    </row>
    <row r="14" spans="1:12" ht="12.75">
      <c r="A14" s="44">
        <v>37873</v>
      </c>
      <c r="B14" s="38">
        <v>1035000</v>
      </c>
      <c r="C14" s="38">
        <f t="shared" si="0"/>
        <v>257525780</v>
      </c>
      <c r="D14" s="39">
        <v>1</v>
      </c>
      <c r="F14" s="38">
        <f>C14*D14/D17</f>
        <v>943317.8754578754</v>
      </c>
      <c r="G14" s="38">
        <v>22</v>
      </c>
      <c r="H14" s="38">
        <f>B14*G14/D17</f>
        <v>83406.59340659341</v>
      </c>
      <c r="J14" s="47"/>
      <c r="K14" s="49"/>
      <c r="L14" s="48"/>
    </row>
    <row r="15" spans="1:12" ht="12.75">
      <c r="A15" s="44">
        <v>37874</v>
      </c>
      <c r="B15" s="38">
        <v>395000</v>
      </c>
      <c r="C15" s="38">
        <f t="shared" si="0"/>
        <v>257920780</v>
      </c>
      <c r="D15" s="39">
        <v>21</v>
      </c>
      <c r="F15" s="38">
        <f>C15*D15/D17</f>
        <v>19840060</v>
      </c>
      <c r="G15" s="38">
        <v>21</v>
      </c>
      <c r="H15" s="38">
        <f>B15*G15/D17</f>
        <v>30384.615384615383</v>
      </c>
      <c r="J15" s="47"/>
      <c r="K15" s="49"/>
      <c r="L15" s="48"/>
    </row>
    <row r="16" spans="10:12" ht="13.5" thickBot="1">
      <c r="J16" s="50"/>
      <c r="K16" s="51"/>
      <c r="L16" s="52"/>
    </row>
    <row r="17" spans="4:12" ht="13.5" thickBot="1">
      <c r="D17" s="53">
        <f>SUM(D9:D15)</f>
        <v>273</v>
      </c>
      <c r="E17" s="54"/>
      <c r="F17" s="55">
        <f>SUM(F9:F15)</f>
        <v>229280486.95970696</v>
      </c>
      <c r="G17" s="68" t="s">
        <v>129</v>
      </c>
      <c r="H17" s="55">
        <f>SUM(H9:H15)</f>
        <v>229280486.95970696</v>
      </c>
      <c r="J17" s="56"/>
      <c r="K17" s="49"/>
      <c r="L17" s="57"/>
    </row>
    <row r="18" ht="12.75">
      <c r="E18" s="54"/>
    </row>
    <row r="19" ht="12.75">
      <c r="E19" s="54"/>
    </row>
    <row r="20" spans="5:10" ht="13.5">
      <c r="E20" s="54"/>
      <c r="J20" s="4" t="s">
        <v>122</v>
      </c>
    </row>
    <row r="21" ht="12.75">
      <c r="E21" s="54"/>
    </row>
    <row r="22" spans="1:5" ht="13.5" thickBot="1">
      <c r="A22" s="40"/>
      <c r="E22" s="54"/>
    </row>
    <row r="23" spans="1:12" ht="12.75">
      <c r="A23" s="44">
        <v>37720</v>
      </c>
      <c r="B23" s="38">
        <f>H42</f>
        <v>5978860.12526096</v>
      </c>
      <c r="C23" s="38">
        <f>250151780+B23</f>
        <v>256130640.12526095</v>
      </c>
      <c r="D23" s="39">
        <v>52</v>
      </c>
      <c r="E23" s="54"/>
      <c r="F23" s="38">
        <f>C23*D23/D17</f>
        <v>48786788.5952878</v>
      </c>
      <c r="G23" s="38">
        <v>175</v>
      </c>
      <c r="H23" s="38">
        <f>B23*G23/D17</f>
        <v>3832602.6443980513</v>
      </c>
      <c r="J23" s="58"/>
      <c r="K23" s="59"/>
      <c r="L23" s="46"/>
    </row>
    <row r="24" spans="1:12" ht="15">
      <c r="A24" s="44">
        <v>37772</v>
      </c>
      <c r="B24" s="33">
        <f>H43</f>
        <v>923087.1607515658</v>
      </c>
      <c r="C24" s="38">
        <f aca="true" t="shared" si="1" ref="C24:C29">C23+B24</f>
        <v>257053727.2860125</v>
      </c>
      <c r="D24" s="39">
        <v>11</v>
      </c>
      <c r="E24" s="54"/>
      <c r="F24" s="38">
        <f>C24*D24/D17</f>
        <v>10357476.191011494</v>
      </c>
      <c r="G24" s="38">
        <v>123</v>
      </c>
      <c r="H24" s="38">
        <f>B24*G24/D17</f>
        <v>415896.4130858703</v>
      </c>
      <c r="J24" s="64" t="s">
        <v>123</v>
      </c>
      <c r="K24" s="31">
        <f>'IS'!H33</f>
        <v>2500843</v>
      </c>
      <c r="L24" s="48"/>
    </row>
    <row r="25" spans="1:12" ht="12.75">
      <c r="A25" s="44">
        <v>37783</v>
      </c>
      <c r="B25" s="33">
        <v>555000</v>
      </c>
      <c r="C25" s="38">
        <f t="shared" si="1"/>
        <v>257608727.2860125</v>
      </c>
      <c r="D25" s="39">
        <v>29</v>
      </c>
      <c r="E25" s="54"/>
      <c r="F25" s="38">
        <f>C25*D25/D17</f>
        <v>27365029.63844089</v>
      </c>
      <c r="G25" s="38">
        <v>0</v>
      </c>
      <c r="H25" s="38">
        <v>0</v>
      </c>
      <c r="J25" s="47"/>
      <c r="K25" s="33">
        <f>H33</f>
        <v>233528986.01719087</v>
      </c>
      <c r="L25" s="48"/>
    </row>
    <row r="26" spans="1:12" ht="12.75">
      <c r="A26" s="44">
        <v>37812</v>
      </c>
      <c r="B26" s="33">
        <v>2314000</v>
      </c>
      <c r="C26" s="38">
        <f t="shared" si="1"/>
        <v>259922727.2860125</v>
      </c>
      <c r="D26" s="39">
        <v>28</v>
      </c>
      <c r="E26" s="54"/>
      <c r="F26" s="38">
        <f>C26*D26/D17</f>
        <v>26658741.260103848</v>
      </c>
      <c r="G26" s="38">
        <v>0</v>
      </c>
      <c r="H26" s="38">
        <v>0</v>
      </c>
      <c r="J26" s="47"/>
      <c r="K26" s="33"/>
      <c r="L26" s="48"/>
    </row>
    <row r="27" spans="1:12" ht="12.75">
      <c r="A27" s="44">
        <v>37840</v>
      </c>
      <c r="B27" s="38">
        <v>3470000</v>
      </c>
      <c r="C27" s="38">
        <f t="shared" si="1"/>
        <v>263392727.2860125</v>
      </c>
      <c r="D27" s="39">
        <v>33</v>
      </c>
      <c r="E27" s="54"/>
      <c r="F27" s="38">
        <f>C27*D27/D17</f>
        <v>31838681.320287224</v>
      </c>
      <c r="G27" s="38">
        <v>0</v>
      </c>
      <c r="H27" s="38">
        <v>0</v>
      </c>
      <c r="J27" s="47" t="s">
        <v>117</v>
      </c>
      <c r="K27" s="49">
        <f>K24/K25*100</f>
        <v>1.0708919019653964</v>
      </c>
      <c r="L27" s="48"/>
    </row>
    <row r="28" spans="1:12" ht="12.75">
      <c r="A28" s="44">
        <v>37873</v>
      </c>
      <c r="B28" s="38">
        <v>1035000</v>
      </c>
      <c r="C28" s="38">
        <f t="shared" si="1"/>
        <v>264427727.2860125</v>
      </c>
      <c r="D28" s="39">
        <v>1</v>
      </c>
      <c r="E28" s="54"/>
      <c r="F28" s="38">
        <f>C28*D28/D17</f>
        <v>968599.7336483975</v>
      </c>
      <c r="G28" s="38">
        <v>0</v>
      </c>
      <c r="H28" s="38">
        <v>0</v>
      </c>
      <c r="J28" s="47"/>
      <c r="K28" s="57"/>
      <c r="L28" s="48"/>
    </row>
    <row r="29" spans="1:12" ht="13.5" thickBot="1">
      <c r="A29" s="44">
        <v>37874</v>
      </c>
      <c r="B29" s="38">
        <v>395000</v>
      </c>
      <c r="C29" s="38">
        <f t="shared" si="1"/>
        <v>264822727.2860125</v>
      </c>
      <c r="D29" s="54">
        <v>21</v>
      </c>
      <c r="E29" s="54"/>
      <c r="F29" s="33">
        <f>C29*D29/D17</f>
        <v>20370979.02200096</v>
      </c>
      <c r="G29" s="70">
        <v>0</v>
      </c>
      <c r="H29" s="33">
        <v>0</v>
      </c>
      <c r="J29" s="50"/>
      <c r="K29" s="61"/>
      <c r="L29" s="52"/>
    </row>
    <row r="30" spans="4:12" ht="12.75">
      <c r="D30" s="54"/>
      <c r="E30" s="54"/>
      <c r="F30" s="33"/>
      <c r="G30" s="68"/>
      <c r="H30" s="33"/>
      <c r="J30" s="56"/>
      <c r="K30" s="57"/>
      <c r="L30" s="57"/>
    </row>
    <row r="31" spans="4:12" ht="12.75">
      <c r="D31" s="54"/>
      <c r="E31" s="54"/>
      <c r="F31" s="33"/>
      <c r="G31" s="68" t="s">
        <v>128</v>
      </c>
      <c r="H31" s="69">
        <f>SUM(H23:H29)</f>
        <v>4248499.057483922</v>
      </c>
      <c r="J31" s="56"/>
      <c r="K31" s="57"/>
      <c r="L31" s="57"/>
    </row>
    <row r="32" spans="2:12" ht="12.75">
      <c r="B32" s="62"/>
      <c r="J32" s="56"/>
      <c r="K32" s="57"/>
      <c r="L32" s="57"/>
    </row>
    <row r="33" spans="4:8" ht="13.5" thickBot="1">
      <c r="D33" s="54"/>
      <c r="E33" s="54"/>
      <c r="F33" s="33"/>
      <c r="G33" s="68" t="s">
        <v>130</v>
      </c>
      <c r="H33" s="55">
        <f>H17+H31</f>
        <v>233528986.01719087</v>
      </c>
    </row>
    <row r="34" spans="7:8" ht="12.75">
      <c r="G34" s="68"/>
      <c r="H34" s="38"/>
    </row>
    <row r="35" spans="7:8" ht="12.75">
      <c r="G35" s="68"/>
      <c r="H35" s="38"/>
    </row>
    <row r="36" spans="7:8" ht="12.75">
      <c r="G36" s="68"/>
      <c r="H36" s="38"/>
    </row>
    <row r="38" spans="1:6" ht="12.75">
      <c r="A38" s="40" t="s">
        <v>131</v>
      </c>
      <c r="F38" s="38">
        <v>22260000</v>
      </c>
    </row>
    <row r="39" spans="1:6" ht="12.75">
      <c r="A39" s="40" t="s">
        <v>126</v>
      </c>
      <c r="F39" s="65">
        <v>7769000</v>
      </c>
    </row>
    <row r="40" spans="1:6" ht="12.75">
      <c r="A40" s="40"/>
      <c r="F40" s="38">
        <f>F38-F39</f>
        <v>14491000</v>
      </c>
    </row>
    <row r="41" ht="12.75">
      <c r="A41" s="40" t="s">
        <v>140</v>
      </c>
    </row>
    <row r="42" spans="1:8" ht="12.75">
      <c r="A42" s="40" t="s">
        <v>137</v>
      </c>
      <c r="C42" s="38">
        <v>12506000</v>
      </c>
      <c r="F42" s="66">
        <f>C42*0.2/0.3832</f>
        <v>6527139.87473904</v>
      </c>
      <c r="H42" s="66">
        <f>C42-F42</f>
        <v>5978860.12526096</v>
      </c>
    </row>
    <row r="43" spans="1:8" ht="12.75">
      <c r="A43" s="40" t="s">
        <v>139</v>
      </c>
      <c r="C43" s="38">
        <v>1985000</v>
      </c>
      <c r="F43" s="67">
        <f>C43*0.205/0.3832</f>
        <v>1061912.8392484342</v>
      </c>
      <c r="H43" s="67">
        <f>C43-F43</f>
        <v>923087.1607515658</v>
      </c>
    </row>
    <row r="44" spans="1:8" ht="12.75">
      <c r="A44" s="40"/>
      <c r="F44" s="38">
        <f>F42+F43</f>
        <v>7589052.713987473</v>
      </c>
      <c r="H44" s="38">
        <f>H42+H43</f>
        <v>6901947.286012527</v>
      </c>
    </row>
    <row r="45" spans="1:6" ht="13.5" thickBot="1">
      <c r="A45" s="40" t="s">
        <v>127</v>
      </c>
      <c r="F45" s="55">
        <f>F40-F44</f>
        <v>6901947.286012527</v>
      </c>
    </row>
    <row r="46" ht="12.75">
      <c r="A46" s="40"/>
    </row>
    <row r="47" ht="12.75">
      <c r="A47" s="40"/>
    </row>
  </sheetData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GHL Transact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GHL Transact Sdn. Bhd.</dc:creator>
  <cp:keywords/>
  <dc:description/>
  <cp:lastModifiedBy>GHL Transact Sdn. Bhd.</cp:lastModifiedBy>
  <cp:lastPrinted>2003-11-05T09:13:07Z</cp:lastPrinted>
  <dcterms:created xsi:type="dcterms:W3CDTF">2003-05-13T08:26:11Z</dcterms:created>
  <dcterms:modified xsi:type="dcterms:W3CDTF">2003-11-11T06:56:00Z</dcterms:modified>
  <cp:category/>
  <cp:version/>
  <cp:contentType/>
  <cp:contentStatus/>
</cp:coreProperties>
</file>