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1655" windowHeight="6495" tabRatio="792" activeTab="0"/>
  </bookViews>
  <sheets>
    <sheet name="INC ST" sheetId="1" r:id="rId1"/>
    <sheet name="BS" sheetId="2" r:id="rId2"/>
    <sheet name="CASH FLOW" sheetId="3" r:id="rId3"/>
    <sheet name="CHG EQ" sheetId="4" r:id="rId4"/>
    <sheet name="P&amp;L (Working)" sheetId="5" state="hidden" r:id="rId5"/>
    <sheet name="BS (Working)" sheetId="6" state="hidden" r:id="rId6"/>
  </sheets>
  <externalReferences>
    <externalReference r:id="rId9"/>
    <externalReference r:id="rId10"/>
  </externalReferences>
  <definedNames>
    <definedName name="_xlnm.Print_Area" localSheetId="1">'BS'!$A$1:$G$49</definedName>
    <definedName name="_xlnm.Print_Area" localSheetId="5">'BS (Working)'!$A$1:$U$52</definedName>
    <definedName name="_xlnm.Print_Area" localSheetId="2">'CASH FLOW'!$A$1:$E$51</definedName>
    <definedName name="_xlnm.Print_Area" localSheetId="3">'CHG EQ'!$A$1:$H$43</definedName>
    <definedName name="_xlnm.Print_Area" localSheetId="0">'INC ST'!$A$1:$I$45</definedName>
    <definedName name="_xlnm.Print_Area" localSheetId="4">'P&amp;L (Working)'!$A$1:$AN$49</definedName>
    <definedName name="_xlnm.Print_Titles" localSheetId="4">'P&amp;L (Working)'!$A:$A</definedName>
  </definedNames>
  <calcPr fullCalcOnLoad="1"/>
</workbook>
</file>

<file path=xl/comments5.xml><?xml version="1.0" encoding="utf-8"?>
<comments xmlns="http://schemas.openxmlformats.org/spreadsheetml/2006/main">
  <authors>
    <author>AKN Messaging Technologies Berhad</author>
  </authors>
  <commentList>
    <comment ref="AB23" authorId="0">
      <text>
        <r>
          <rPr>
            <b/>
            <sz val="8"/>
            <rFont val="Tahoma"/>
            <family val="0"/>
          </rPr>
          <t>extracted - 49,531.33</t>
        </r>
      </text>
    </comment>
  </commentList>
</comments>
</file>

<file path=xl/sharedStrings.xml><?xml version="1.0" encoding="utf-8"?>
<sst xmlns="http://schemas.openxmlformats.org/spreadsheetml/2006/main" count="307" uniqueCount="170">
  <si>
    <t>RM'000</t>
  </si>
  <si>
    <t xml:space="preserve"> </t>
  </si>
  <si>
    <t>Taxation</t>
  </si>
  <si>
    <t>Current Assets</t>
  </si>
  <si>
    <t>Current Liabilities</t>
  </si>
  <si>
    <t>(THE FIGURES HAVE NOT BEEN AUDITED)</t>
  </si>
  <si>
    <t>(i)  Basic (sen)</t>
  </si>
  <si>
    <t>Revenue</t>
  </si>
  <si>
    <t>Share</t>
  </si>
  <si>
    <t>Capital</t>
  </si>
  <si>
    <t xml:space="preserve">Retained </t>
  </si>
  <si>
    <t>Total</t>
  </si>
  <si>
    <t>Operating Expenses</t>
  </si>
  <si>
    <t>Operating profit before working capital changes</t>
  </si>
  <si>
    <t>Product development expenditure</t>
  </si>
  <si>
    <t>Net cash used in investing activities</t>
  </si>
  <si>
    <t>Net cash generated from financing activites</t>
  </si>
  <si>
    <t>CASH AND CASH EQUIVALENTS AT BEGINNING OF YEAR</t>
  </si>
  <si>
    <t>Profit from Operations</t>
  </si>
  <si>
    <t>Minority interests</t>
  </si>
  <si>
    <t>Amortisation and depreciation</t>
  </si>
  <si>
    <t>NET CHANGE IN CASH AND CASH EQUIVALENTS</t>
  </si>
  <si>
    <t>INDIVIDUAL QUARTER</t>
  </si>
  <si>
    <t>Net Profit attributable to shareholders</t>
  </si>
  <si>
    <t>Profit after taxation</t>
  </si>
  <si>
    <t>Profit before taxation</t>
  </si>
  <si>
    <t>CUMULATIVE QUARTER</t>
  </si>
  <si>
    <t>(AUDITED)</t>
  </si>
  <si>
    <t>Purchase of plant and equipment</t>
  </si>
  <si>
    <t xml:space="preserve">CASH AND CASH EQUIVALENTS AT QUARTER END </t>
  </si>
  <si>
    <t>Net Current Assets</t>
  </si>
  <si>
    <t>AKN MESSAGING TECHNOLOGIES BERHAD</t>
  </si>
  <si>
    <t>Premium</t>
  </si>
  <si>
    <t>Other Operating Income</t>
  </si>
  <si>
    <t xml:space="preserve">     Trade receivables </t>
  </si>
  <si>
    <t xml:space="preserve">     Other receivables </t>
  </si>
  <si>
    <t>CASH FLOW FROM INVESTING ACTIVITIES</t>
  </si>
  <si>
    <t>CASH FLOW FROM FINANCING ACTIVITIES</t>
  </si>
  <si>
    <t xml:space="preserve">     Tax payable</t>
  </si>
  <si>
    <t>(UNAUDITED)</t>
  </si>
  <si>
    <t xml:space="preserve">     Cash and bank balances</t>
  </si>
  <si>
    <t xml:space="preserve">     Trade payables</t>
  </si>
  <si>
    <t xml:space="preserve">     Other payables</t>
  </si>
  <si>
    <t>Share capital</t>
  </si>
  <si>
    <t>Share premium</t>
  </si>
  <si>
    <t>Shareholders' Funds</t>
  </si>
  <si>
    <t>Exercise of share options</t>
  </si>
  <si>
    <t>Profit</t>
  </si>
  <si>
    <t>(Incorporated in Malaysia - Company No. 482772-D)</t>
  </si>
  <si>
    <t>Retained profit</t>
  </si>
  <si>
    <t>Quarter</t>
  </si>
  <si>
    <t>Ended</t>
  </si>
  <si>
    <t>Year</t>
  </si>
  <si>
    <t>to date</t>
  </si>
  <si>
    <t xml:space="preserve">     Plant and equipment</t>
  </si>
  <si>
    <t xml:space="preserve">     Intangible assets</t>
  </si>
  <si>
    <t>Non-current Assets</t>
  </si>
  <si>
    <t>CASH FLOW FROM OPERATING ACTIVITIES</t>
  </si>
  <si>
    <t>Adjustment for:</t>
  </si>
  <si>
    <t>Net cash generated from operating activities</t>
  </si>
  <si>
    <t>Changes in working capital:</t>
  </si>
  <si>
    <t>Cash generated from operating activities</t>
  </si>
  <si>
    <t>Taxes paid</t>
  </si>
  <si>
    <t>Finance costs, net</t>
  </si>
  <si>
    <t>(ii) Diluted (sen)</t>
  </si>
  <si>
    <t>CONDENSED CONSOLIDATED INCOME STATEMENTS</t>
  </si>
  <si>
    <t>CONDENSED CONSOLIDATED BALANCE SHEET</t>
  </si>
  <si>
    <t>CONDENSED CONSOLIDATED CASH FLOW STATEMENT</t>
  </si>
  <si>
    <t>CONDENSED CONSOLIDATED STATEMENT OF CHANGES IN EQUITY</t>
  </si>
  <si>
    <t>Foreign</t>
  </si>
  <si>
    <t>Exchange</t>
  </si>
  <si>
    <t>Reserve</t>
  </si>
  <si>
    <t>Minority interest</t>
  </si>
  <si>
    <t>Foreign exchange reserve</t>
  </si>
  <si>
    <t>-</t>
  </si>
  <si>
    <t>Proceeds from exercise of shares option</t>
  </si>
  <si>
    <t xml:space="preserve">    Goodwill on consolidation</t>
  </si>
  <si>
    <t>EFFECT OF EXCHANGE RATE CHANGES</t>
  </si>
  <si>
    <t>Contribution to share capital of subsidiaries by minority interest</t>
  </si>
  <si>
    <t>Currency translation differences not recognised in income statement</t>
  </si>
  <si>
    <t>Balance at 1 July 2004</t>
  </si>
  <si>
    <t>Plant and equipment written off</t>
  </si>
  <si>
    <t>(Decrease)/increase in payables</t>
  </si>
  <si>
    <t>(Increase)/decrease in receivables</t>
  </si>
  <si>
    <t xml:space="preserve">(The Condensed Consolidated Income Statements should be read in conjunction with the Annual Financial </t>
  </si>
  <si>
    <t>(The Condensed Consolidated Balance Sheet should be read in conjunction with the Annual Financial</t>
  </si>
  <si>
    <t xml:space="preserve">(The Condensed Consolidated Cash Flow Statements should be read in conjunction with the Annual Financial </t>
  </si>
  <si>
    <t xml:space="preserve">(The Condensed Consolidated Statement of Changes in Equity should be read in conjunction with the Annual </t>
  </si>
  <si>
    <t>As at</t>
  </si>
  <si>
    <t xml:space="preserve">     Hire purchase payable</t>
  </si>
  <si>
    <t>Long-Term hire purchase payables</t>
  </si>
  <si>
    <t>Net unrealised loss/(gain) on foreign exchange</t>
  </si>
  <si>
    <t>RM</t>
  </si>
  <si>
    <t xml:space="preserve">Earnings per share </t>
  </si>
  <si>
    <t>Report for the year ended 30th June 2005)</t>
  </si>
  <si>
    <t>Balance at 1 July 2005</t>
  </si>
  <si>
    <t xml:space="preserve"> Financial Report for the year ended 30 June 2005 )</t>
  </si>
  <si>
    <t>Qtr 1</t>
  </si>
  <si>
    <t xml:space="preserve">Ex.rate </t>
  </si>
  <si>
    <t>M'sia</t>
  </si>
  <si>
    <t xml:space="preserve">                     Thailand</t>
  </si>
  <si>
    <t>Indonesia</t>
  </si>
  <si>
    <t>Group</t>
  </si>
  <si>
    <t>Actual</t>
  </si>
  <si>
    <t>Budget</t>
  </si>
  <si>
    <t xml:space="preserve">Var </t>
  </si>
  <si>
    <t>S$</t>
  </si>
  <si>
    <t>%</t>
  </si>
  <si>
    <t>Baht</t>
  </si>
  <si>
    <t>RS$</t>
  </si>
  <si>
    <t>HK$</t>
  </si>
  <si>
    <t>RMB</t>
  </si>
  <si>
    <t>RP$</t>
  </si>
  <si>
    <t>Finance Costs, net</t>
  </si>
  <si>
    <t>Net Profit to shareholders</t>
  </si>
  <si>
    <t>BALANCE SHEET</t>
  </si>
  <si>
    <t>(A)</t>
  </si>
  <si>
    <t>Consol</t>
  </si>
  <si>
    <t>Adjusted</t>
  </si>
  <si>
    <t>Thailand</t>
  </si>
  <si>
    <t>Singapore</t>
  </si>
  <si>
    <t>Pakistan</t>
  </si>
  <si>
    <t>Hong Kong</t>
  </si>
  <si>
    <t>Xiamen</t>
  </si>
  <si>
    <t>Adjustment</t>
  </si>
  <si>
    <t>Balance</t>
  </si>
  <si>
    <t>Bath</t>
  </si>
  <si>
    <t>DR/(CR)</t>
  </si>
  <si>
    <t xml:space="preserve">     Investment in subsidiaries</t>
  </si>
  <si>
    <t xml:space="preserve">     Investment in unquoted securities</t>
  </si>
  <si>
    <t xml:space="preserve">     Amount due from subsidiaries</t>
  </si>
  <si>
    <t xml:space="preserve">     Amount due to holding co</t>
  </si>
  <si>
    <t xml:space="preserve">     Amount due from/(to) related co</t>
  </si>
  <si>
    <t xml:space="preserve">     Goodwill on consolidation</t>
  </si>
  <si>
    <t xml:space="preserve">     Deferred tax assets</t>
  </si>
  <si>
    <t xml:space="preserve">     Borrowings</t>
  </si>
  <si>
    <t>Special Reserve</t>
  </si>
  <si>
    <t>Retained profit(losses)</t>
  </si>
  <si>
    <t>Retained profit(losses) Current Year</t>
  </si>
  <si>
    <t>Borrowings</t>
  </si>
  <si>
    <t>Deferred tax liabilities</t>
  </si>
  <si>
    <t>Acquisition of subsidiary</t>
  </si>
  <si>
    <t>Written off of goodwill on consolidation</t>
  </si>
  <si>
    <t xml:space="preserve">     Dividend payable</t>
  </si>
  <si>
    <t xml:space="preserve">Dividend </t>
  </si>
  <si>
    <t>Net assets per share (sen)</t>
  </si>
  <si>
    <t>Dividend</t>
  </si>
  <si>
    <t>CONDENSED INCOME STATEMENTS FOR Q3-</t>
  </si>
  <si>
    <t>Dividends paid</t>
  </si>
  <si>
    <t>Repayment of hire purchase</t>
  </si>
  <si>
    <t>As at 30 June 2005 &amp; 30 June 2006</t>
  </si>
  <si>
    <t>Dividend Paid</t>
  </si>
  <si>
    <t>Goodwill written off</t>
  </si>
  <si>
    <t>Loss on disposal of fixed assets</t>
  </si>
  <si>
    <t>Provision for doubtful debts</t>
  </si>
  <si>
    <t>Short-term accumulating compensated absences</t>
  </si>
  <si>
    <t>Investment in unquoted securities</t>
  </si>
  <si>
    <t>Proceeds from disposal of plant and equipment</t>
  </si>
  <si>
    <t>Payment of expenses in connection with issuance of Bonus Shares</t>
  </si>
  <si>
    <t xml:space="preserve">Net assets per share attributable to ordinary equity </t>
  </si>
  <si>
    <t>Balance at  30 June 2005</t>
  </si>
  <si>
    <t>Twelve (12) months ended 30 June 2005</t>
  </si>
  <si>
    <t>Twelve (12) months ended 30 June 2006</t>
  </si>
  <si>
    <t>Net profit for the twelve (12) months period ended 30 June 2006</t>
  </si>
  <si>
    <t>Balance at  30 June 2006</t>
  </si>
  <si>
    <t>Net profit for the twelve (12) months period ended 30 June 2005</t>
  </si>
  <si>
    <t>Report for the year ended 30 June 2005)</t>
  </si>
  <si>
    <t>For the twelve (12) months ended 30 June 2006</t>
  </si>
  <si>
    <t xml:space="preserve">For the twelve (12) months ended 30 June 2006 </t>
  </si>
  <si>
    <t>holders of the parent (sen)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</si>
</sst>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_);_(* \(#,##0\);_(* &quot;-&quot;??_);_(@_)"/>
    <numFmt numFmtId="173" formatCode="0.0000"/>
    <numFmt numFmtId="174" formatCode="0.000"/>
    <numFmt numFmtId="175" formatCode="0.000000"/>
    <numFmt numFmtId="176" formatCode="[$-409]d\-mmm\-yy;@"/>
    <numFmt numFmtId="177" formatCode="0_);\(0\)"/>
    <numFmt numFmtId="178" formatCode="#,##0.0000"/>
    <numFmt numFmtId="179" formatCode="_(* #,##0.0000_);_(* \(#,##0.0000\);_(* &quot;-&quot;????_);_(@_)"/>
    <numFmt numFmtId="180" formatCode="[$-409]dddd\,\ mmmm\ dd\,\ yyyy"/>
    <numFmt numFmtId="181" formatCode="_(* #,##0.0_);_(* \(#,##0.0\);_(* &quot;-&quot;?_);_(@_)"/>
    <numFmt numFmtId="182" formatCode="0.00_);\(0.00\)"/>
    <numFmt numFmtId="183" formatCode="_(* #,##0.0000000_);_(* \(#,##0.0000000\);_(* &quot;-&quot;???????_);_(@_)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000"/>
    <numFmt numFmtId="189" formatCode="_(* #,##0.0_);_(* \(#,##0.0\);_(* &quot;-&quot;??_);_(@_)"/>
    <numFmt numFmtId="190" formatCode="&quot;$&quot;#,##0.00"/>
    <numFmt numFmtId="191" formatCode="#\ ??/100"/>
    <numFmt numFmtId="192" formatCode="#\ ?/2"/>
    <numFmt numFmtId="193" formatCode="_(* #,##0.000_);_(* \(#,##0.000\);_(* &quot;-&quot;??_);_(@_)"/>
    <numFmt numFmtId="194" formatCode="0.00000"/>
    <numFmt numFmtId="195" formatCode="0.0000000"/>
    <numFmt numFmtId="196" formatCode="0.0"/>
    <numFmt numFmtId="197" formatCode="0.00000000"/>
    <numFmt numFmtId="198" formatCode="0.0000000000"/>
    <numFmt numFmtId="199" formatCode="0.000000000"/>
    <numFmt numFmtId="200" formatCode="#,##0.0"/>
    <numFmt numFmtId="201" formatCode="0.000000000_ "/>
    <numFmt numFmtId="202" formatCode="0.00000000_ "/>
    <numFmt numFmtId="203" formatCode="0.0000000_ "/>
    <numFmt numFmtId="204" formatCode="0.000000_ "/>
    <numFmt numFmtId="205" formatCode="0.00000_ "/>
    <numFmt numFmtId="206" formatCode="0.0000_ "/>
    <numFmt numFmtId="207" formatCode="0.000_ "/>
    <numFmt numFmtId="208" formatCode="0.00_ "/>
    <numFmt numFmtId="209" formatCode="mm/dd/yy;@"/>
    <numFmt numFmtId="210" formatCode="0.E+00"/>
    <numFmt numFmtId="211" formatCode="&quot;$&quot;#,##0"/>
    <numFmt numFmtId="212" formatCode="0.000_);\(0.000\)"/>
    <numFmt numFmtId="213" formatCode="#\ ???/???"/>
    <numFmt numFmtId="214" formatCode="[$-409]h:mm:ss\ AM/PM"/>
    <numFmt numFmtId="215" formatCode="0.0%"/>
    <numFmt numFmtId="216" formatCode="#,##0.000"/>
    <numFmt numFmtId="217" formatCode="#,##0.0_);\(#,##0.0\)"/>
    <numFmt numFmtId="218" formatCode="#,##0.000_);\(#,##0.000\)"/>
    <numFmt numFmtId="219" formatCode="#,##0.0000_);\(#,##0.0000\)"/>
    <numFmt numFmtId="220" formatCode="#,##0.00000_);\(#,##0.00000\)"/>
    <numFmt numFmtId="221" formatCode="0.0000_);\(0.0000\)"/>
  </numFmts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2" fontId="6" fillId="2" borderId="0" xfId="0" applyNumberFormat="1" applyFont="1" applyFill="1" applyAlignment="1">
      <alignment/>
    </xf>
    <xf numFmtId="172" fontId="6" fillId="2" borderId="0" xfId="15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72" fontId="6" fillId="2" borderId="2" xfId="15" applyNumberFormat="1" applyFont="1" applyFill="1" applyBorder="1" applyAlignment="1">
      <alignment/>
    </xf>
    <xf numFmtId="0" fontId="0" fillId="2" borderId="0" xfId="0" applyFill="1" applyAlignment="1">
      <alignment/>
    </xf>
    <xf numFmtId="172" fontId="3" fillId="2" borderId="0" xfId="15" applyNumberFormat="1" applyFont="1" applyFill="1" applyAlignment="1">
      <alignment/>
    </xf>
    <xf numFmtId="0" fontId="3" fillId="2" borderId="0" xfId="0" applyFont="1" applyFill="1" applyAlignment="1">
      <alignment/>
    </xf>
    <xf numFmtId="15" fontId="6" fillId="2" borderId="0" xfId="0" applyNumberFormat="1" applyFont="1" applyFill="1" applyAlignment="1" quotePrefix="1">
      <alignment/>
    </xf>
    <xf numFmtId="0" fontId="6" fillId="2" borderId="0" xfId="0" applyFont="1" applyFill="1" applyAlignment="1" quotePrefix="1">
      <alignment/>
    </xf>
    <xf numFmtId="172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72" fontId="6" fillId="0" borderId="3" xfId="15" applyNumberFormat="1" applyFont="1" applyFill="1" applyBorder="1" applyAlignment="1">
      <alignment/>
    </xf>
    <xf numFmtId="172" fontId="6" fillId="0" borderId="0" xfId="15" applyNumberFormat="1" applyFont="1" applyFill="1" applyAlignment="1">
      <alignment horizontal="center"/>
    </xf>
    <xf numFmtId="172" fontId="6" fillId="0" borderId="4" xfId="15" applyNumberFormat="1" applyFont="1" applyFill="1" applyBorder="1" applyAlignment="1">
      <alignment/>
    </xf>
    <xf numFmtId="172" fontId="6" fillId="0" borderId="0" xfId="15" applyNumberFormat="1" applyFont="1" applyBorder="1" applyAlignment="1">
      <alignment/>
    </xf>
    <xf numFmtId="172" fontId="6" fillId="0" borderId="0" xfId="15" applyNumberFormat="1" applyFont="1" applyAlignment="1">
      <alignment/>
    </xf>
    <xf numFmtId="172" fontId="3" fillId="0" borderId="0" xfId="15" applyNumberFormat="1" applyFont="1" applyFill="1" applyAlignment="1">
      <alignment horizontal="center"/>
    </xf>
    <xf numFmtId="172" fontId="6" fillId="0" borderId="2" xfId="15" applyNumberFormat="1" applyFont="1" applyFill="1" applyBorder="1" applyAlignment="1">
      <alignment/>
    </xf>
    <xf numFmtId="43" fontId="6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172" fontId="6" fillId="0" borderId="0" xfId="0" applyNumberFormat="1" applyFont="1" applyFill="1" applyAlignment="1">
      <alignment/>
    </xf>
    <xf numFmtId="172" fontId="6" fillId="0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3" fontId="3" fillId="0" borderId="1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center"/>
    </xf>
    <xf numFmtId="175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Border="1" applyAlignment="1">
      <alignment/>
    </xf>
    <xf numFmtId="172" fontId="6" fillId="0" borderId="5" xfId="15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0" fontId="6" fillId="0" borderId="7" xfId="21" applyNumberFormat="1" applyFont="1" applyBorder="1" applyAlignment="1">
      <alignment/>
    </xf>
    <xf numFmtId="172" fontId="6" fillId="0" borderId="8" xfId="15" applyNumberFormat="1" applyFont="1" applyBorder="1" applyAlignment="1">
      <alignment/>
    </xf>
    <xf numFmtId="10" fontId="6" fillId="0" borderId="0" xfId="21" applyNumberFormat="1" applyFont="1" applyBorder="1" applyAlignment="1">
      <alignment/>
    </xf>
    <xf numFmtId="172" fontId="6" fillId="0" borderId="7" xfId="15" applyNumberFormat="1" applyFont="1" applyBorder="1" applyAlignment="1">
      <alignment/>
    </xf>
    <xf numFmtId="2" fontId="6" fillId="0" borderId="8" xfId="15" applyNumberFormat="1" applyFont="1" applyBorder="1" applyAlignment="1">
      <alignment/>
    </xf>
    <xf numFmtId="2" fontId="6" fillId="0" borderId="0" xfId="15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2" fontId="6" fillId="0" borderId="9" xfId="15" applyNumberFormat="1" applyFont="1" applyBorder="1" applyAlignment="1">
      <alignment/>
    </xf>
    <xf numFmtId="172" fontId="6" fillId="0" borderId="3" xfId="15" applyNumberFormat="1" applyFont="1" applyBorder="1" applyAlignment="1">
      <alignment/>
    </xf>
    <xf numFmtId="172" fontId="6" fillId="0" borderId="10" xfId="15" applyNumberFormat="1" applyFont="1" applyBorder="1" applyAlignment="1">
      <alignment/>
    </xf>
    <xf numFmtId="172" fontId="6" fillId="0" borderId="11" xfId="15" applyNumberFormat="1" applyFont="1" applyBorder="1" applyAlignment="1">
      <alignment/>
    </xf>
    <xf numFmtId="2" fontId="6" fillId="0" borderId="3" xfId="15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/>
    </xf>
    <xf numFmtId="43" fontId="6" fillId="0" borderId="0" xfId="15" applyFont="1" applyBorder="1" applyAlignment="1">
      <alignment/>
    </xf>
    <xf numFmtId="172" fontId="6" fillId="0" borderId="0" xfId="0" applyNumberFormat="1" applyFont="1" applyAlignment="1">
      <alignment/>
    </xf>
    <xf numFmtId="37" fontId="6" fillId="0" borderId="3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172" fontId="6" fillId="0" borderId="12" xfId="15" applyNumberFormat="1" applyFont="1" applyBorder="1" applyAlignment="1">
      <alignment/>
    </xf>
    <xf numFmtId="179" fontId="6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172" fontId="6" fillId="0" borderId="13" xfId="15" applyNumberFormat="1" applyFont="1" applyFill="1" applyBorder="1" applyAlignment="1">
      <alignment/>
    </xf>
    <xf numFmtId="10" fontId="6" fillId="0" borderId="14" xfId="21" applyNumberFormat="1" applyFont="1" applyFill="1" applyBorder="1" applyAlignment="1">
      <alignment/>
    </xf>
    <xf numFmtId="172" fontId="6" fillId="0" borderId="15" xfId="15" applyNumberFormat="1" applyFont="1" applyFill="1" applyBorder="1" applyAlignment="1">
      <alignment/>
    </xf>
    <xf numFmtId="10" fontId="6" fillId="0" borderId="4" xfId="21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10" fontId="6" fillId="0" borderId="10" xfId="21" applyNumberFormat="1" applyFont="1" applyBorder="1" applyAlignment="1">
      <alignment/>
    </xf>
    <xf numFmtId="2" fontId="6" fillId="0" borderId="11" xfId="21" applyNumberFormat="1" applyFont="1" applyBorder="1" applyAlignment="1">
      <alignment/>
    </xf>
    <xf numFmtId="2" fontId="6" fillId="0" borderId="3" xfId="21" applyNumberFormat="1" applyFont="1" applyBorder="1" applyAlignment="1">
      <alignment/>
    </xf>
    <xf numFmtId="10" fontId="6" fillId="0" borderId="3" xfId="21" applyNumberFormat="1" applyFont="1" applyBorder="1" applyAlignment="1">
      <alignment/>
    </xf>
    <xf numFmtId="0" fontId="3" fillId="0" borderId="0" xfId="0" applyFont="1" applyFill="1" applyAlignment="1">
      <alignment/>
    </xf>
    <xf numFmtId="172" fontId="6" fillId="0" borderId="5" xfId="15" applyNumberFormat="1" applyFont="1" applyFill="1" applyBorder="1" applyAlignment="1">
      <alignment/>
    </xf>
    <xf numFmtId="172" fontId="6" fillId="0" borderId="7" xfId="15" applyNumberFormat="1" applyFont="1" applyFill="1" applyBorder="1" applyAlignment="1">
      <alignment/>
    </xf>
    <xf numFmtId="172" fontId="6" fillId="0" borderId="8" xfId="15" applyNumberFormat="1" applyFont="1" applyFill="1" applyBorder="1" applyAlignment="1">
      <alignment/>
    </xf>
    <xf numFmtId="43" fontId="6" fillId="0" borderId="0" xfId="15" applyFont="1" applyFill="1" applyBorder="1" applyAlignment="1">
      <alignment/>
    </xf>
    <xf numFmtId="10" fontId="6" fillId="0" borderId="7" xfId="21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172" fontId="6" fillId="0" borderId="13" xfId="15" applyNumberFormat="1" applyFont="1" applyBorder="1" applyAlignment="1">
      <alignment/>
    </xf>
    <xf numFmtId="172" fontId="6" fillId="0" borderId="4" xfId="15" applyNumberFormat="1" applyFont="1" applyBorder="1" applyAlignment="1">
      <alignment/>
    </xf>
    <xf numFmtId="10" fontId="6" fillId="0" borderId="14" xfId="21" applyNumberFormat="1" applyFont="1" applyBorder="1" applyAlignment="1">
      <alignment/>
    </xf>
    <xf numFmtId="10" fontId="6" fillId="0" borderId="4" xfId="21" applyNumberFormat="1" applyFont="1" applyBorder="1" applyAlignment="1">
      <alignment/>
    </xf>
    <xf numFmtId="172" fontId="3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5" fillId="0" borderId="0" xfId="15" applyNumberFormat="1" applyFont="1" applyAlignment="1">
      <alignment/>
    </xf>
    <xf numFmtId="0" fontId="5" fillId="0" borderId="0" xfId="0" applyFont="1" applyAlignment="1">
      <alignment/>
    </xf>
    <xf numFmtId="38" fontId="6" fillId="0" borderId="0" xfId="0" applyNumberFormat="1" applyFont="1" applyAlignment="1">
      <alignment/>
    </xf>
    <xf numFmtId="173" fontId="0" fillId="0" borderId="0" xfId="0" applyNumberFormat="1" applyFill="1" applyAlignment="1">
      <alignment/>
    </xf>
    <xf numFmtId="38" fontId="3" fillId="0" borderId="0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8" fontId="3" fillId="0" borderId="3" xfId="0" applyNumberFormat="1" applyFont="1" applyBorder="1" applyAlignment="1">
      <alignment horizontal="center"/>
    </xf>
    <xf numFmtId="43" fontId="3" fillId="0" borderId="16" xfId="15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3" fillId="0" borderId="16" xfId="15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43" fontId="3" fillId="0" borderId="17" xfId="15" applyFont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38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 quotePrefix="1">
      <alignment horizontal="center"/>
    </xf>
    <xf numFmtId="14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Alignment="1" quotePrefix="1">
      <alignment horizontal="center"/>
    </xf>
    <xf numFmtId="172" fontId="6" fillId="0" borderId="3" xfId="0" applyNumberFormat="1" applyFont="1" applyBorder="1" applyAlignment="1">
      <alignment/>
    </xf>
    <xf numFmtId="38" fontId="6" fillId="0" borderId="3" xfId="0" applyNumberFormat="1" applyFont="1" applyBorder="1" applyAlignment="1">
      <alignment/>
    </xf>
    <xf numFmtId="172" fontId="6" fillId="0" borderId="12" xfId="15" applyNumberFormat="1" applyFont="1" applyFill="1" applyBorder="1" applyAlignment="1">
      <alignment/>
    </xf>
    <xf numFmtId="38" fontId="6" fillId="0" borderId="0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38" fontId="6" fillId="0" borderId="4" xfId="0" applyNumberFormat="1" applyFont="1" applyBorder="1" applyAlignment="1">
      <alignment/>
    </xf>
    <xf numFmtId="172" fontId="6" fillId="3" borderId="0" xfId="15" applyNumberFormat="1" applyFont="1" applyFill="1" applyBorder="1" applyAlignment="1">
      <alignment/>
    </xf>
    <xf numFmtId="172" fontId="6" fillId="3" borderId="0" xfId="15" applyNumberFormat="1" applyFont="1" applyFill="1" applyAlignment="1">
      <alignment/>
    </xf>
    <xf numFmtId="38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6" fillId="4" borderId="0" xfId="15" applyNumberFormat="1" applyFont="1" applyFill="1" applyAlignment="1">
      <alignment/>
    </xf>
    <xf numFmtId="172" fontId="6" fillId="2" borderId="0" xfId="15" applyNumberFormat="1" applyFont="1" applyFill="1" applyBorder="1" applyAlignment="1">
      <alignment/>
    </xf>
    <xf numFmtId="172" fontId="6" fillId="2" borderId="3" xfId="15" applyNumberFormat="1" applyFont="1" applyFill="1" applyBorder="1" applyAlignment="1">
      <alignment/>
    </xf>
    <xf numFmtId="172" fontId="6" fillId="2" borderId="4" xfId="15" applyNumberFormat="1" applyFont="1" applyFill="1" applyBorder="1" applyAlignment="1">
      <alignment/>
    </xf>
    <xf numFmtId="176" fontId="3" fillId="2" borderId="3" xfId="0" applyNumberFormat="1" applyFont="1" applyFill="1" applyBorder="1" applyAlignment="1" quotePrefix="1">
      <alignment horizontal="center"/>
    </xf>
    <xf numFmtId="172" fontId="6" fillId="4" borderId="0" xfId="15" applyNumberFormat="1" applyFont="1" applyFill="1" applyBorder="1" applyAlignment="1">
      <alignment/>
    </xf>
    <xf numFmtId="3" fontId="6" fillId="0" borderId="8" xfId="15" applyNumberFormat="1" applyFont="1" applyBorder="1" applyAlignment="1">
      <alignment/>
    </xf>
    <xf numFmtId="172" fontId="6" fillId="0" borderId="0" xfId="0" applyNumberFormat="1" applyFont="1" applyFill="1" applyBorder="1" applyAlignment="1">
      <alignment/>
    </xf>
    <xf numFmtId="37" fontId="6" fillId="2" borderId="0" xfId="0" applyNumberFormat="1" applyFont="1" applyFill="1" applyAlignment="1">
      <alignment/>
    </xf>
    <xf numFmtId="172" fontId="6" fillId="5" borderId="0" xfId="15" applyNumberFormat="1" applyFont="1" applyFill="1" applyAlignment="1">
      <alignment/>
    </xf>
    <xf numFmtId="172" fontId="6" fillId="5" borderId="0" xfId="15" applyNumberFormat="1" applyFont="1" applyFill="1" applyBorder="1" applyAlignment="1">
      <alignment/>
    </xf>
    <xf numFmtId="173" fontId="6" fillId="0" borderId="0" xfId="15" applyNumberFormat="1" applyFont="1" applyAlignment="1">
      <alignment/>
    </xf>
    <xf numFmtId="172" fontId="6" fillId="6" borderId="0" xfId="15" applyNumberFormat="1" applyFont="1" applyFill="1" applyBorder="1" applyAlignment="1">
      <alignment/>
    </xf>
    <xf numFmtId="43" fontId="0" fillId="0" borderId="0" xfId="0" applyNumberFormat="1" applyAlignment="1">
      <alignment/>
    </xf>
    <xf numFmtId="41" fontId="6" fillId="0" borderId="0" xfId="0" applyNumberFormat="1" applyFont="1" applyFill="1" applyAlignment="1">
      <alignment horizontal="center"/>
    </xf>
    <xf numFmtId="43" fontId="6" fillId="2" borderId="0" xfId="15" applyNumberFormat="1" applyFont="1" applyFill="1" applyAlignment="1">
      <alignment/>
    </xf>
    <xf numFmtId="172" fontId="7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76" fontId="3" fillId="2" borderId="0" xfId="0" applyNumberFormat="1" applyFont="1" applyFill="1" applyBorder="1" applyAlignment="1" quotePrefix="1">
      <alignment horizontal="center"/>
    </xf>
    <xf numFmtId="43" fontId="6" fillId="2" borderId="0" xfId="15" applyNumberFormat="1" applyFont="1" applyFill="1" applyBorder="1" applyAlignment="1">
      <alignment/>
    </xf>
    <xf numFmtId="172" fontId="3" fillId="2" borderId="0" xfId="15" applyNumberFormat="1" applyFont="1" applyFill="1" applyBorder="1" applyAlignment="1">
      <alignment/>
    </xf>
    <xf numFmtId="172" fontId="3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3" fontId="6" fillId="0" borderId="0" xfId="15" applyNumberFormat="1" applyFont="1" applyFill="1" applyAlignment="1">
      <alignment horizontal="left" indent="1"/>
    </xf>
    <xf numFmtId="172" fontId="3" fillId="0" borderId="0" xfId="15" applyNumberFormat="1" applyFont="1" applyFill="1" applyAlignment="1">
      <alignment/>
    </xf>
    <xf numFmtId="172" fontId="5" fillId="0" borderId="0" xfId="15" applyNumberFormat="1" applyFont="1" applyFill="1" applyAlignment="1">
      <alignment/>
    </xf>
    <xf numFmtId="15" fontId="3" fillId="0" borderId="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76" fontId="3" fillId="0" borderId="18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6" fontId="3" fillId="0" borderId="18" xfId="0" applyNumberFormat="1" applyFont="1" applyBorder="1" applyAlignment="1">
      <alignment horizontal="left"/>
    </xf>
    <xf numFmtId="176" fontId="3" fillId="0" borderId="16" xfId="0" applyNumberFormat="1" applyFont="1" applyBorder="1" applyAlignment="1">
      <alignment horizontal="left"/>
    </xf>
    <xf numFmtId="176" fontId="3" fillId="0" borderId="19" xfId="0" applyNumberFormat="1" applyFont="1" applyBorder="1" applyAlignment="1">
      <alignment horizontal="left"/>
    </xf>
    <xf numFmtId="176" fontId="3" fillId="0" borderId="18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Qterly%20Announcement\GrpP&amp;L-Actual%20v%20Budget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ly%20anouncement\AKNMTECH%20June%2006%20Conso%20Worksheet\quarterly%20anouncement\Mar06\AKNMT-QTR-MAR06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p Jul 05"/>
      <sheetName val="Grp Aug 05"/>
      <sheetName val="Grp Sept 05"/>
      <sheetName val="Grp Q1"/>
      <sheetName val="Sheet1"/>
    </sheetNames>
    <sheetDataSet>
      <sheetData sheetId="0">
        <row r="9">
          <cell r="D9">
            <v>1345400</v>
          </cell>
          <cell r="I9">
            <v>538780.244</v>
          </cell>
          <cell r="N9">
            <v>13518</v>
          </cell>
          <cell r="S9">
            <v>22516.672</v>
          </cell>
          <cell r="X9">
            <v>407250.64</v>
          </cell>
          <cell r="AC9">
            <v>37933.596000000005</v>
          </cell>
          <cell r="AH9">
            <v>282900</v>
          </cell>
        </row>
        <row r="31">
          <cell r="D31">
            <v>3000</v>
          </cell>
          <cell r="G31">
            <v>0</v>
          </cell>
          <cell r="H31">
            <v>0</v>
          </cell>
          <cell r="I31">
            <v>0</v>
          </cell>
          <cell r="L31">
            <v>0</v>
          </cell>
          <cell r="M31">
            <v>0</v>
          </cell>
          <cell r="N31">
            <v>0</v>
          </cell>
          <cell r="S31">
            <v>112.57600000000001</v>
          </cell>
          <cell r="X31">
            <v>0</v>
          </cell>
          <cell r="AA31">
            <v>0</v>
          </cell>
          <cell r="AB31">
            <v>0</v>
          </cell>
          <cell r="AC31">
            <v>0</v>
          </cell>
          <cell r="AH31">
            <v>26614.808</v>
          </cell>
        </row>
      </sheetData>
      <sheetData sheetId="1">
        <row r="9">
          <cell r="D9">
            <v>1387600</v>
          </cell>
          <cell r="I9">
            <v>614804.444</v>
          </cell>
          <cell r="N9">
            <v>2253</v>
          </cell>
          <cell r="S9">
            <v>41856.32</v>
          </cell>
          <cell r="X9">
            <v>416295.232</v>
          </cell>
          <cell r="AC9">
            <v>68280.38100000001</v>
          </cell>
          <cell r="AH9">
            <v>389260</v>
          </cell>
        </row>
        <row r="31">
          <cell r="D31">
            <v>3000</v>
          </cell>
          <cell r="G31">
            <v>0</v>
          </cell>
          <cell r="H31">
            <v>0</v>
          </cell>
          <cell r="I31">
            <v>0</v>
          </cell>
          <cell r="L31">
            <v>0</v>
          </cell>
          <cell r="M31">
            <v>0</v>
          </cell>
          <cell r="N31">
            <v>0</v>
          </cell>
          <cell r="S31">
            <v>209.28</v>
          </cell>
          <cell r="X31">
            <v>0</v>
          </cell>
          <cell r="AA31">
            <v>0</v>
          </cell>
          <cell r="AB31">
            <v>0</v>
          </cell>
          <cell r="AC31">
            <v>0</v>
          </cell>
          <cell r="AH31">
            <v>25898.288</v>
          </cell>
        </row>
      </sheetData>
      <sheetData sheetId="2">
        <row r="9">
          <cell r="D9">
            <v>1428916</v>
          </cell>
          <cell r="I9">
            <v>698269.144</v>
          </cell>
          <cell r="N9">
            <v>2253</v>
          </cell>
          <cell r="S9">
            <v>44985.984000000004</v>
          </cell>
          <cell r="X9">
            <v>430898.144</v>
          </cell>
          <cell r="AC9">
            <v>99710.865</v>
          </cell>
          <cell r="AH9">
            <v>415112.80000000005</v>
          </cell>
        </row>
        <row r="31">
          <cell r="D31">
            <v>3000</v>
          </cell>
          <cell r="G31">
            <v>0</v>
          </cell>
          <cell r="H31">
            <v>0</v>
          </cell>
          <cell r="I31">
            <v>13359.412</v>
          </cell>
          <cell r="L31">
            <v>0</v>
          </cell>
          <cell r="M31">
            <v>0</v>
          </cell>
          <cell r="N31">
            <v>0</v>
          </cell>
          <cell r="S31">
            <v>224.96</v>
          </cell>
          <cell r="X31">
            <v>0</v>
          </cell>
          <cell r="AA31">
            <v>0</v>
          </cell>
          <cell r="AB31">
            <v>0</v>
          </cell>
          <cell r="AC31">
            <v>0</v>
          </cell>
          <cell r="AH31">
            <v>51065.475600000005</v>
          </cell>
        </row>
      </sheetData>
      <sheetData sheetId="4">
        <row r="23">
          <cell r="C23">
            <v>-2886.8072906999996</v>
          </cell>
          <cell r="D23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 ST"/>
      <sheetName val="BS"/>
      <sheetName val="CASH FLOW"/>
      <sheetName val="EPS"/>
      <sheetName val="CHG EQ"/>
      <sheetName val="P&amp;L (Working)"/>
      <sheetName val="BS (Working)"/>
    </sheetNames>
    <sheetDataSet>
      <sheetData sheetId="0">
        <row r="10">
          <cell r="B10">
            <v>2006</v>
          </cell>
        </row>
        <row r="13">
          <cell r="B13">
            <v>38807</v>
          </cell>
        </row>
        <row r="16">
          <cell r="B16">
            <v>8082</v>
          </cell>
        </row>
        <row r="18">
          <cell r="B18">
            <v>-7003</v>
          </cell>
        </row>
        <row r="24">
          <cell r="B24">
            <v>49</v>
          </cell>
        </row>
        <row r="28">
          <cell r="B28">
            <v>-172</v>
          </cell>
        </row>
        <row r="32">
          <cell r="B32">
            <v>-192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zoomScale="75" zoomScaleNormal="75" workbookViewId="0" topLeftCell="A10">
      <selection activeCell="G22" sqref="G22"/>
    </sheetView>
  </sheetViews>
  <sheetFormatPr defaultColWidth="9.140625" defaultRowHeight="12.75"/>
  <cols>
    <col min="1" max="1" width="41.140625" style="156" customWidth="1"/>
    <col min="2" max="2" width="18.57421875" style="156" hidden="1" customWidth="1"/>
    <col min="3" max="3" width="14.421875" style="156" customWidth="1"/>
    <col min="4" max="4" width="1.28515625" style="156" customWidth="1"/>
    <col min="5" max="5" width="13.8515625" style="156" customWidth="1"/>
    <col min="6" max="6" width="0.85546875" style="156" customWidth="1"/>
    <col min="7" max="7" width="13.28125" style="156" customWidth="1"/>
    <col min="8" max="8" width="0.85546875" style="156" customWidth="1"/>
    <col min="9" max="9" width="15.140625" style="156" customWidth="1"/>
    <col min="10" max="10" width="9.140625" style="156" customWidth="1"/>
    <col min="11" max="11" width="10.28125" style="156" customWidth="1"/>
    <col min="12" max="16384" width="9.140625" style="156" customWidth="1"/>
  </cols>
  <sheetData>
    <row r="1" spans="1:9" ht="15.75">
      <c r="A1" s="171" t="s">
        <v>31</v>
      </c>
      <c r="B1" s="171"/>
      <c r="C1" s="171"/>
      <c r="D1" s="171"/>
      <c r="E1" s="171"/>
      <c r="F1" s="171"/>
      <c r="G1" s="171"/>
      <c r="H1" s="171"/>
      <c r="I1" s="171"/>
    </row>
    <row r="2" spans="1:9" ht="12.75">
      <c r="A2" s="157" t="s">
        <v>48</v>
      </c>
      <c r="B2" s="157"/>
      <c r="C2" s="157"/>
      <c r="D2" s="157"/>
      <c r="E2" s="157"/>
      <c r="F2" s="157"/>
      <c r="G2" s="157"/>
      <c r="H2" s="157"/>
      <c r="I2" s="157"/>
    </row>
    <row r="3" spans="1:9" ht="15.75">
      <c r="A3" s="158" t="s">
        <v>65</v>
      </c>
      <c r="B3" s="158"/>
      <c r="C3" s="158"/>
      <c r="D3" s="158"/>
      <c r="E3" s="158"/>
      <c r="F3" s="158"/>
      <c r="G3" s="158"/>
      <c r="H3" s="158"/>
      <c r="I3" s="158"/>
    </row>
    <row r="4" spans="1:9" ht="15.75">
      <c r="A4" s="158" t="s">
        <v>167</v>
      </c>
      <c r="B4" s="158"/>
      <c r="C4" s="158"/>
      <c r="D4" s="158"/>
      <c r="E4" s="158"/>
      <c r="F4" s="158"/>
      <c r="G4" s="158"/>
      <c r="H4" s="158"/>
      <c r="I4" s="158"/>
    </row>
    <row r="5" spans="1:9" ht="15.75">
      <c r="A5" s="158" t="s">
        <v>5</v>
      </c>
      <c r="B5" s="158"/>
      <c r="C5" s="158"/>
      <c r="D5" s="158"/>
      <c r="E5" s="158"/>
      <c r="F5" s="158"/>
      <c r="G5" s="158"/>
      <c r="H5" s="158"/>
      <c r="I5" s="158"/>
    </row>
    <row r="6" spans="1:9" ht="15.75">
      <c r="A6" s="17"/>
      <c r="B6" s="17"/>
      <c r="C6" s="17"/>
      <c r="D6" s="17"/>
      <c r="E6" s="17"/>
      <c r="F6" s="17"/>
      <c r="G6" s="17"/>
      <c r="H6" s="17"/>
      <c r="I6" s="17"/>
    </row>
    <row r="7" spans="1:9" ht="15.75">
      <c r="A7" s="88"/>
      <c r="B7" s="88"/>
      <c r="C7" s="17"/>
      <c r="D7" s="17"/>
      <c r="E7" s="17"/>
      <c r="F7" s="17"/>
      <c r="G7" s="17"/>
      <c r="H7" s="17"/>
      <c r="I7" s="17"/>
    </row>
    <row r="8" spans="1:9" ht="15.75">
      <c r="A8" s="17"/>
      <c r="B8" s="17"/>
      <c r="C8" s="170" t="s">
        <v>22</v>
      </c>
      <c r="D8" s="170"/>
      <c r="E8" s="170"/>
      <c r="F8" s="160"/>
      <c r="G8" s="170" t="s">
        <v>26</v>
      </c>
      <c r="H8" s="170"/>
      <c r="I8" s="170"/>
    </row>
    <row r="9" spans="1:9" ht="15.75">
      <c r="A9" s="17"/>
      <c r="B9" s="17"/>
      <c r="C9" s="159"/>
      <c r="D9" s="159"/>
      <c r="E9" s="159"/>
      <c r="F9" s="20"/>
      <c r="G9" s="159"/>
      <c r="H9" s="159"/>
      <c r="I9" s="19"/>
    </row>
    <row r="10" spans="1:9" ht="15.75">
      <c r="A10" s="17"/>
      <c r="B10" s="159">
        <f>'[2]INC ST'!B10</f>
        <v>2006</v>
      </c>
      <c r="C10" s="159">
        <v>2006</v>
      </c>
      <c r="D10" s="159"/>
      <c r="E10" s="159">
        <v>2005</v>
      </c>
      <c r="F10" s="20"/>
      <c r="G10" s="159">
        <f>C10</f>
        <v>2006</v>
      </c>
      <c r="H10" s="159"/>
      <c r="I10" s="159">
        <f>E10</f>
        <v>2005</v>
      </c>
    </row>
    <row r="11" spans="1:9" ht="15.75">
      <c r="A11" s="17"/>
      <c r="B11" s="77" t="s">
        <v>52</v>
      </c>
      <c r="C11" s="77" t="s">
        <v>50</v>
      </c>
      <c r="D11" s="77"/>
      <c r="E11" s="77" t="s">
        <v>50</v>
      </c>
      <c r="F11" s="20"/>
      <c r="G11" s="77" t="s">
        <v>52</v>
      </c>
      <c r="H11" s="77"/>
      <c r="I11" s="77" t="s">
        <v>52</v>
      </c>
    </row>
    <row r="12" spans="1:9" ht="15.75">
      <c r="A12" s="17"/>
      <c r="B12" s="77" t="s">
        <v>53</v>
      </c>
      <c r="C12" s="77" t="s">
        <v>51</v>
      </c>
      <c r="D12" s="77"/>
      <c r="E12" s="77" t="s">
        <v>51</v>
      </c>
      <c r="F12" s="20"/>
      <c r="G12" s="77" t="s">
        <v>53</v>
      </c>
      <c r="H12" s="77"/>
      <c r="I12" s="77" t="s">
        <v>53</v>
      </c>
    </row>
    <row r="13" spans="1:9" ht="16.5" thickBot="1">
      <c r="A13" s="17"/>
      <c r="B13" s="161">
        <f>'[2]INC ST'!B13</f>
        <v>38807</v>
      </c>
      <c r="C13" s="161">
        <v>38898</v>
      </c>
      <c r="D13" s="159"/>
      <c r="E13" s="161">
        <v>38533</v>
      </c>
      <c r="F13" s="20"/>
      <c r="G13" s="161">
        <f>C13</f>
        <v>38898</v>
      </c>
      <c r="H13" s="159"/>
      <c r="I13" s="161">
        <f>E13</f>
        <v>38533</v>
      </c>
    </row>
    <row r="14" spans="1:9" ht="15.75">
      <c r="A14" s="17"/>
      <c r="B14" s="77" t="s">
        <v>0</v>
      </c>
      <c r="C14" s="77" t="s">
        <v>0</v>
      </c>
      <c r="D14" s="77"/>
      <c r="E14" s="77" t="s">
        <v>0</v>
      </c>
      <c r="F14" s="77"/>
      <c r="G14" s="77" t="s">
        <v>0</v>
      </c>
      <c r="H14" s="77"/>
      <c r="I14" s="77" t="s">
        <v>0</v>
      </c>
    </row>
    <row r="15" spans="1:9" ht="15.75">
      <c r="A15" s="17"/>
      <c r="B15" s="17"/>
      <c r="C15" s="17"/>
      <c r="D15" s="17"/>
      <c r="E15" s="17"/>
      <c r="F15" s="17"/>
      <c r="G15" s="17"/>
      <c r="H15" s="17"/>
      <c r="I15" s="17"/>
    </row>
    <row r="16" spans="1:11" ht="15.75">
      <c r="A16" s="88" t="s">
        <v>7</v>
      </c>
      <c r="B16" s="18">
        <f>14473+'[2]INC ST'!B16</f>
        <v>22555</v>
      </c>
      <c r="C16" s="18">
        <v>8195</v>
      </c>
      <c r="D16" s="19"/>
      <c r="E16" s="18">
        <v>12010</v>
      </c>
      <c r="F16" s="18"/>
      <c r="G16" s="18">
        <v>30750</v>
      </c>
      <c r="H16" s="19"/>
      <c r="I16" s="18">
        <f>E16+30330</f>
        <v>42340</v>
      </c>
      <c r="K16" s="18"/>
    </row>
    <row r="17" spans="1:11" ht="15.75">
      <c r="A17" s="17"/>
      <c r="B17" s="16"/>
      <c r="C17" s="16"/>
      <c r="D17" s="17"/>
      <c r="E17" s="16"/>
      <c r="F17" s="18"/>
      <c r="G17" s="16"/>
      <c r="H17" s="17"/>
      <c r="I17" s="18"/>
      <c r="K17" s="18"/>
    </row>
    <row r="18" spans="1:11" ht="15.75">
      <c r="A18" s="88" t="s">
        <v>12</v>
      </c>
      <c r="B18" s="18">
        <f>-14740+'[2]INC ST'!B18</f>
        <v>-21743</v>
      </c>
      <c r="C18" s="18">
        <f>G18-B18</f>
        <v>-6749</v>
      </c>
      <c r="D18" s="19"/>
      <c r="E18" s="18">
        <v>-6807</v>
      </c>
      <c r="F18" s="18"/>
      <c r="G18" s="18">
        <f>-8677-8509-11241-104+39</f>
        <v>-28492</v>
      </c>
      <c r="H18" s="19"/>
      <c r="I18" s="18">
        <f>-7188-8038-10281-154</f>
        <v>-25661</v>
      </c>
      <c r="K18" s="18"/>
    </row>
    <row r="19" spans="1:11" ht="15.75">
      <c r="A19" s="17" t="s">
        <v>1</v>
      </c>
      <c r="B19" s="18"/>
      <c r="C19" s="18"/>
      <c r="D19" s="19"/>
      <c r="E19" s="18" t="s">
        <v>1</v>
      </c>
      <c r="F19" s="18"/>
      <c r="G19" s="18"/>
      <c r="H19" s="19"/>
      <c r="I19" s="18" t="s">
        <v>1</v>
      </c>
      <c r="K19" s="18"/>
    </row>
    <row r="20" spans="1:11" ht="15.75">
      <c r="A20" s="88" t="s">
        <v>33</v>
      </c>
      <c r="B20" s="146">
        <v>0</v>
      </c>
      <c r="C20" s="18">
        <v>52</v>
      </c>
      <c r="D20" s="146"/>
      <c r="E20" s="20" t="s">
        <v>74</v>
      </c>
      <c r="F20" s="20"/>
      <c r="G20" s="188">
        <v>52</v>
      </c>
      <c r="H20" s="20"/>
      <c r="I20" s="162">
        <v>31</v>
      </c>
      <c r="K20" s="18"/>
    </row>
    <row r="21" spans="1:11" ht="15.75">
      <c r="A21" s="17"/>
      <c r="B21" s="21"/>
      <c r="C21" s="21"/>
      <c r="D21" s="17"/>
      <c r="E21" s="21"/>
      <c r="F21" s="18"/>
      <c r="G21" s="21"/>
      <c r="H21" s="17"/>
      <c r="I21" s="21"/>
      <c r="K21" s="18"/>
    </row>
    <row r="22" spans="1:11" ht="15.75">
      <c r="A22" s="88" t="s">
        <v>18</v>
      </c>
      <c r="B22" s="16">
        <f>SUM(B16:B21)</f>
        <v>812</v>
      </c>
      <c r="C22" s="16">
        <f>SUM(C16:C21)</f>
        <v>1498</v>
      </c>
      <c r="D22" s="17"/>
      <c r="E22" s="16">
        <f>SUM(E16:E21)</f>
        <v>5203</v>
      </c>
      <c r="F22" s="16"/>
      <c r="G22" s="16">
        <f>SUM(G16:G21)</f>
        <v>2310</v>
      </c>
      <c r="H22" s="17"/>
      <c r="I22" s="16">
        <f>SUM(I16:I21)</f>
        <v>16710</v>
      </c>
      <c r="K22" s="18"/>
    </row>
    <row r="23" spans="1:11" ht="15.75">
      <c r="A23" s="17"/>
      <c r="B23" s="18"/>
      <c r="C23" s="18"/>
      <c r="D23" s="19"/>
      <c r="E23" s="18"/>
      <c r="F23" s="18"/>
      <c r="G23" s="18"/>
      <c r="H23" s="19"/>
      <c r="I23" s="18"/>
      <c r="K23" s="18"/>
    </row>
    <row r="24" spans="1:11" ht="15.75">
      <c r="A24" s="88" t="s">
        <v>63</v>
      </c>
      <c r="B24" s="18">
        <f>42+'[2]INC ST'!B24</f>
        <v>91</v>
      </c>
      <c r="C24" s="18">
        <v>53</v>
      </c>
      <c r="D24" s="19"/>
      <c r="E24" s="18">
        <v>6</v>
      </c>
      <c r="F24" s="18"/>
      <c r="G24" s="18">
        <f>162-18</f>
        <v>144</v>
      </c>
      <c r="H24" s="19"/>
      <c r="I24" s="18">
        <f>121-15</f>
        <v>106</v>
      </c>
      <c r="K24" s="18"/>
    </row>
    <row r="25" spans="1:11" ht="15.75">
      <c r="A25" s="17"/>
      <c r="B25" s="21"/>
      <c r="C25" s="21"/>
      <c r="D25" s="17"/>
      <c r="E25" s="21"/>
      <c r="F25" s="16"/>
      <c r="G25" s="21"/>
      <c r="H25" s="17"/>
      <c r="I25" s="21"/>
      <c r="K25" s="18"/>
    </row>
    <row r="26" spans="1:11" ht="15.75">
      <c r="A26" s="88" t="s">
        <v>25</v>
      </c>
      <c r="B26" s="16">
        <f>SUM(B22:B25)</f>
        <v>903</v>
      </c>
      <c r="C26" s="16">
        <f>SUM(C22:C25)</f>
        <v>1551</v>
      </c>
      <c r="D26" s="17"/>
      <c r="E26" s="16">
        <f>SUM(E22:E25)</f>
        <v>5209</v>
      </c>
      <c r="F26" s="16">
        <f>SUM(F22:F25)</f>
        <v>0</v>
      </c>
      <c r="G26" s="16">
        <f>SUM(G22:G25)</f>
        <v>2454</v>
      </c>
      <c r="H26" s="17"/>
      <c r="I26" s="16">
        <f>SUM(I22:I25)</f>
        <v>16816</v>
      </c>
      <c r="K26" s="18"/>
    </row>
    <row r="27" spans="1:11" ht="15.75">
      <c r="A27" s="17"/>
      <c r="B27" s="16"/>
      <c r="C27" s="16"/>
      <c r="D27" s="17"/>
      <c r="E27" s="16"/>
      <c r="F27" s="16"/>
      <c r="G27" s="16"/>
      <c r="H27" s="17"/>
      <c r="I27" s="16"/>
      <c r="K27" s="18"/>
    </row>
    <row r="28" spans="1:11" ht="15.75">
      <c r="A28" s="88" t="s">
        <v>2</v>
      </c>
      <c r="B28" s="18">
        <f>49+'[2]INC ST'!B28</f>
        <v>-123</v>
      </c>
      <c r="C28" s="18">
        <v>-297</v>
      </c>
      <c r="D28" s="17"/>
      <c r="E28" s="18">
        <v>0</v>
      </c>
      <c r="F28" s="16"/>
      <c r="G28" s="18">
        <v>-420</v>
      </c>
      <c r="H28" s="17"/>
      <c r="I28" s="18">
        <f>E28-332</f>
        <v>-332</v>
      </c>
      <c r="K28" s="18"/>
    </row>
    <row r="29" spans="1:11" ht="15.75">
      <c r="A29" s="17"/>
      <c r="B29" s="21"/>
      <c r="C29" s="21"/>
      <c r="D29" s="17"/>
      <c r="E29" s="21"/>
      <c r="F29" s="16"/>
      <c r="G29" s="21"/>
      <c r="H29" s="17"/>
      <c r="I29" s="21"/>
      <c r="K29" s="18"/>
    </row>
    <row r="30" spans="1:11" ht="15.75">
      <c r="A30" s="88" t="s">
        <v>24</v>
      </c>
      <c r="B30" s="16">
        <f>SUM(B26:B28)</f>
        <v>780</v>
      </c>
      <c r="C30" s="16">
        <f>SUM(C26:C28)</f>
        <v>1254</v>
      </c>
      <c r="D30" s="17"/>
      <c r="E30" s="16">
        <f>SUM(E26:E28)</f>
        <v>5209</v>
      </c>
      <c r="F30" s="16"/>
      <c r="G30" s="16">
        <f>SUM(G26:G28)</f>
        <v>2034</v>
      </c>
      <c r="H30" s="17"/>
      <c r="I30" s="16">
        <f>SUM(I26:I29)</f>
        <v>16484</v>
      </c>
      <c r="K30" s="18"/>
    </row>
    <row r="31" spans="1:11" ht="15.75">
      <c r="A31" s="17"/>
      <c r="B31" s="16"/>
      <c r="C31" s="16"/>
      <c r="D31" s="17"/>
      <c r="E31" s="16"/>
      <c r="F31" s="16"/>
      <c r="G31" s="16"/>
      <c r="H31" s="17"/>
      <c r="I31" s="16"/>
      <c r="K31" s="18"/>
    </row>
    <row r="32" spans="1:11" ht="15.75">
      <c r="A32" s="88" t="s">
        <v>19</v>
      </c>
      <c r="B32" s="18">
        <f>19+'[2]INC ST'!B32</f>
        <v>-173</v>
      </c>
      <c r="C32" s="18">
        <v>-325</v>
      </c>
      <c r="D32" s="17"/>
      <c r="E32" s="18">
        <v>-212</v>
      </c>
      <c r="F32" s="16"/>
      <c r="G32" s="18">
        <v>-498</v>
      </c>
      <c r="H32" s="17"/>
      <c r="I32" s="18">
        <v>98</v>
      </c>
      <c r="K32" s="18"/>
    </row>
    <row r="33" spans="1:11" ht="15.75">
      <c r="A33" s="17"/>
      <c r="B33" s="18"/>
      <c r="C33" s="18"/>
      <c r="D33" s="17"/>
      <c r="E33" s="18"/>
      <c r="F33" s="16"/>
      <c r="G33" s="18"/>
      <c r="H33" s="17"/>
      <c r="I33" s="18"/>
      <c r="K33" s="18"/>
    </row>
    <row r="34" spans="1:11" ht="16.5" thickBot="1">
      <c r="A34" s="88" t="s">
        <v>23</v>
      </c>
      <c r="B34" s="23">
        <f>SUM(B30:B32)</f>
        <v>607</v>
      </c>
      <c r="C34" s="23">
        <f>SUM(C30:C33)</f>
        <v>929</v>
      </c>
      <c r="D34" s="17"/>
      <c r="E34" s="23">
        <f>SUM(E30:E33)</f>
        <v>4997</v>
      </c>
      <c r="F34" s="16"/>
      <c r="G34" s="23">
        <f>SUM(G30:G33)</f>
        <v>1536</v>
      </c>
      <c r="H34" s="17"/>
      <c r="I34" s="23">
        <f>SUM(I30:I33)</f>
        <v>16582</v>
      </c>
      <c r="K34" s="18"/>
    </row>
    <row r="35" spans="1:11" ht="16.5" thickTop="1">
      <c r="A35" s="17"/>
      <c r="B35" s="18"/>
      <c r="C35" s="16"/>
      <c r="D35" s="17"/>
      <c r="E35" s="22"/>
      <c r="F35" s="26"/>
      <c r="G35" s="16"/>
      <c r="H35" s="17"/>
      <c r="I35" s="22"/>
      <c r="K35" s="155"/>
    </row>
    <row r="36" spans="1:11" ht="15.75">
      <c r="A36" s="17"/>
      <c r="B36" s="18"/>
      <c r="C36" s="16"/>
      <c r="D36" s="17"/>
      <c r="E36" s="22"/>
      <c r="F36" s="16"/>
      <c r="G36" s="16"/>
      <c r="H36" s="17"/>
      <c r="I36" s="22"/>
      <c r="K36" s="16"/>
    </row>
    <row r="37" spans="1:11" ht="15.75">
      <c r="A37" s="88" t="s">
        <v>93</v>
      </c>
      <c r="B37" s="18"/>
      <c r="C37" s="16"/>
      <c r="D37" s="17"/>
      <c r="E37" s="22"/>
      <c r="F37" s="28"/>
      <c r="G37" s="16"/>
      <c r="H37" s="17"/>
      <c r="I37" s="22"/>
      <c r="K37" s="28"/>
    </row>
    <row r="38" spans="1:11" ht="15.75">
      <c r="A38" s="17" t="s">
        <v>6</v>
      </c>
      <c r="B38" s="88"/>
      <c r="C38" s="28">
        <v>0.57</v>
      </c>
      <c r="D38" s="17"/>
      <c r="E38" s="28">
        <v>3.07</v>
      </c>
      <c r="F38" s="28"/>
      <c r="G38" s="28">
        <v>0.94</v>
      </c>
      <c r="H38" s="17"/>
      <c r="I38" s="28">
        <v>10.23</v>
      </c>
      <c r="K38" s="28"/>
    </row>
    <row r="39" spans="1:11" ht="15.75">
      <c r="A39" s="17" t="s">
        <v>64</v>
      </c>
      <c r="B39" s="17"/>
      <c r="C39" s="28">
        <v>0.56</v>
      </c>
      <c r="D39" s="17"/>
      <c r="E39" s="28">
        <v>3.01</v>
      </c>
      <c r="F39" s="28"/>
      <c r="G39" s="28">
        <v>0.94</v>
      </c>
      <c r="H39" s="17"/>
      <c r="I39" s="163">
        <v>10.02</v>
      </c>
      <c r="K39" s="163"/>
    </row>
    <row r="40" spans="1:9" ht="15.75">
      <c r="A40" s="17"/>
      <c r="B40" s="88"/>
      <c r="C40" s="164"/>
      <c r="D40" s="17"/>
      <c r="E40" s="16"/>
      <c r="F40" s="16"/>
      <c r="G40" s="16"/>
      <c r="H40" s="17"/>
      <c r="I40" s="16"/>
    </row>
    <row r="41" spans="1:9" ht="15.75">
      <c r="A41" s="17"/>
      <c r="B41" s="17"/>
      <c r="C41" s="16"/>
      <c r="D41" s="17"/>
      <c r="E41" s="16"/>
      <c r="F41" s="16"/>
      <c r="G41" s="16"/>
      <c r="H41" s="17"/>
      <c r="I41" s="16"/>
    </row>
    <row r="42" spans="1:7" s="17" customFormat="1" ht="15.75">
      <c r="A42" s="88" t="s">
        <v>84</v>
      </c>
      <c r="C42" s="88"/>
      <c r="D42" s="88"/>
      <c r="E42" s="88"/>
      <c r="F42" s="88"/>
      <c r="G42" s="88"/>
    </row>
    <row r="43" spans="1:7" s="17" customFormat="1" ht="15.75">
      <c r="A43" s="88" t="s">
        <v>94</v>
      </c>
      <c r="B43" s="88"/>
      <c r="C43" s="88"/>
      <c r="D43" s="88"/>
      <c r="E43" s="88"/>
      <c r="F43" s="88"/>
      <c r="G43" s="88"/>
    </row>
    <row r="44" spans="2:9" ht="15.75">
      <c r="B44" s="17"/>
      <c r="C44" s="165"/>
      <c r="E44" s="165"/>
      <c r="F44" s="165"/>
      <c r="G44" s="165"/>
      <c r="I44" s="165"/>
    </row>
    <row r="45" spans="2:9" ht="15.75">
      <c r="B45" s="17"/>
      <c r="C45" s="165"/>
      <c r="E45" s="165"/>
      <c r="F45" s="165"/>
      <c r="G45" s="165"/>
      <c r="I45" s="165"/>
    </row>
    <row r="46" spans="2:9" ht="15.75">
      <c r="B46" s="17"/>
      <c r="C46" s="165"/>
      <c r="E46" s="165"/>
      <c r="F46" s="165"/>
      <c r="G46" s="165"/>
      <c r="I46" s="165"/>
    </row>
    <row r="47" spans="2:9" ht="15.75">
      <c r="B47" s="17"/>
      <c r="C47" s="165"/>
      <c r="E47" s="165"/>
      <c r="F47" s="165"/>
      <c r="G47" s="165"/>
      <c r="I47" s="165"/>
    </row>
    <row r="48" spans="2:9" ht="15.75">
      <c r="B48" s="88"/>
      <c r="C48" s="165"/>
      <c r="E48" s="165"/>
      <c r="F48" s="165"/>
      <c r="G48" s="165"/>
      <c r="I48" s="165"/>
    </row>
    <row r="49" spans="2:9" ht="15.75">
      <c r="B49" s="88"/>
      <c r="C49" s="165"/>
      <c r="E49" s="165"/>
      <c r="F49" s="165"/>
      <c r="G49" s="165"/>
      <c r="I49" s="165"/>
    </row>
    <row r="50" spans="3:9" ht="12.75">
      <c r="C50" s="165"/>
      <c r="E50" s="165"/>
      <c r="F50" s="165"/>
      <c r="G50" s="165"/>
      <c r="I50" s="165"/>
    </row>
    <row r="51" spans="3:7" ht="12.75">
      <c r="C51" s="165"/>
      <c r="E51" s="165"/>
      <c r="F51" s="165"/>
      <c r="G51" s="165"/>
    </row>
    <row r="52" spans="5:7" ht="12.75">
      <c r="E52" s="165"/>
      <c r="F52" s="165"/>
      <c r="G52" s="165"/>
    </row>
    <row r="53" spans="5:7" ht="12.75">
      <c r="E53" s="165"/>
      <c r="F53" s="165"/>
      <c r="G53" s="165"/>
    </row>
    <row r="54" spans="5:7" ht="12.75">
      <c r="E54" s="165"/>
      <c r="F54" s="165"/>
      <c r="G54" s="165"/>
    </row>
    <row r="55" spans="5:7" ht="12.75">
      <c r="E55" s="165"/>
      <c r="F55" s="165"/>
      <c r="G55" s="165"/>
    </row>
    <row r="56" spans="5:7" ht="12.75">
      <c r="E56" s="165"/>
      <c r="F56" s="165"/>
      <c r="G56" s="165"/>
    </row>
    <row r="57" spans="5:7" ht="12.75">
      <c r="E57" s="165"/>
      <c r="F57" s="165"/>
      <c r="G57" s="165"/>
    </row>
    <row r="58" spans="5:7" ht="12.75">
      <c r="E58" s="165"/>
      <c r="F58" s="165"/>
      <c r="G58" s="165"/>
    </row>
    <row r="59" spans="5:7" ht="12.75">
      <c r="E59" s="165"/>
      <c r="F59" s="165"/>
      <c r="G59" s="165"/>
    </row>
    <row r="60" spans="5:7" ht="12.75">
      <c r="E60" s="165"/>
      <c r="F60" s="165"/>
      <c r="G60" s="165"/>
    </row>
    <row r="61" spans="5:7" ht="12.75">
      <c r="E61" s="165"/>
      <c r="F61" s="165"/>
      <c r="G61" s="165"/>
    </row>
    <row r="62" spans="5:7" ht="12.75">
      <c r="E62" s="165"/>
      <c r="F62" s="165"/>
      <c r="G62" s="165"/>
    </row>
    <row r="63" spans="5:7" ht="12.75">
      <c r="E63" s="165"/>
      <c r="F63" s="165"/>
      <c r="G63" s="165"/>
    </row>
    <row r="64" spans="5:7" ht="12.75">
      <c r="E64" s="165"/>
      <c r="F64" s="165"/>
      <c r="G64" s="165"/>
    </row>
    <row r="65" spans="5:7" ht="12.75">
      <c r="E65" s="165"/>
      <c r="F65" s="165"/>
      <c r="G65" s="165"/>
    </row>
  </sheetData>
  <mergeCells count="3">
    <mergeCell ref="C8:E8"/>
    <mergeCell ref="G8:I8"/>
    <mergeCell ref="A1:I1"/>
  </mergeCells>
  <printOptions/>
  <pageMargins left="0.55" right="0.57" top="0.67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18"/>
  <sheetViews>
    <sheetView zoomScale="75" zoomScaleNormal="75" workbookViewId="0" topLeftCell="A31">
      <selection activeCell="B47" sqref="B47"/>
    </sheetView>
  </sheetViews>
  <sheetFormatPr defaultColWidth="9.140625" defaultRowHeight="12.75"/>
  <cols>
    <col min="1" max="1" width="4.140625" style="3" customWidth="1"/>
    <col min="2" max="2" width="58.8515625" style="3" customWidth="1"/>
    <col min="3" max="3" width="16.00390625" style="3" customWidth="1"/>
    <col min="4" max="4" width="2.8515625" style="2" customWidth="1"/>
    <col min="5" max="5" width="16.140625" style="3" customWidth="1"/>
    <col min="6" max="6" width="5.57421875" style="3" customWidth="1"/>
    <col min="7" max="7" width="1.7109375" style="3" customWidth="1"/>
    <col min="8" max="16384" width="9.140625" style="3" customWidth="1"/>
  </cols>
  <sheetData>
    <row r="1" spans="1:6" ht="15.75">
      <c r="A1" s="6" t="s">
        <v>31</v>
      </c>
      <c r="B1" s="6"/>
      <c r="C1" s="6"/>
      <c r="D1" s="151"/>
      <c r="E1" s="6"/>
      <c r="F1" s="6"/>
    </row>
    <row r="2" spans="1:6" ht="15.75">
      <c r="A2" s="6" t="s">
        <v>66</v>
      </c>
      <c r="B2" s="6"/>
      <c r="C2" s="6"/>
      <c r="D2" s="151"/>
      <c r="E2" s="6"/>
      <c r="F2" s="6"/>
    </row>
    <row r="3" spans="1:6" ht="15.75">
      <c r="A3" s="6" t="s">
        <v>150</v>
      </c>
      <c r="B3" s="6"/>
      <c r="C3" s="6"/>
      <c r="D3" s="151"/>
      <c r="E3" s="6"/>
      <c r="F3" s="6"/>
    </row>
    <row r="4" spans="1:6" ht="16.5" thickBot="1">
      <c r="A4" s="6"/>
      <c r="B4" s="6"/>
      <c r="C4" s="7" t="s">
        <v>39</v>
      </c>
      <c r="D4" s="1"/>
      <c r="E4" s="7" t="s">
        <v>27</v>
      </c>
      <c r="F4" s="6"/>
    </row>
    <row r="5" spans="1:6" ht="15.75">
      <c r="A5" s="6"/>
      <c r="B5" s="6"/>
      <c r="C5" s="8" t="s">
        <v>88</v>
      </c>
      <c r="D5" s="1"/>
      <c r="E5" s="8" t="s">
        <v>88</v>
      </c>
      <c r="F5" s="6"/>
    </row>
    <row r="6" spans="1:6" ht="15.75">
      <c r="A6" s="6"/>
      <c r="B6" s="6"/>
      <c r="C6" s="136">
        <v>38898</v>
      </c>
      <c r="D6" s="152"/>
      <c r="E6" s="136">
        <v>38533</v>
      </c>
      <c r="F6" s="6"/>
    </row>
    <row r="7" spans="1:6" ht="15.75">
      <c r="A7" s="6"/>
      <c r="B7" s="6"/>
      <c r="C7" s="8" t="s">
        <v>0</v>
      </c>
      <c r="D7" s="1"/>
      <c r="E7" s="8" t="s">
        <v>0</v>
      </c>
      <c r="F7" s="8"/>
    </row>
    <row r="9" ht="15.75">
      <c r="B9" s="6" t="s">
        <v>56</v>
      </c>
    </row>
    <row r="10" spans="1:6" ht="15.75">
      <c r="A10" s="6"/>
      <c r="B10" s="6" t="s">
        <v>54</v>
      </c>
      <c r="C10" s="5">
        <f>8591+39</f>
        <v>8630</v>
      </c>
      <c r="D10" s="133"/>
      <c r="E10" s="5">
        <v>7581</v>
      </c>
      <c r="F10" s="5"/>
    </row>
    <row r="11" spans="1:6" ht="15.75">
      <c r="A11" s="6"/>
      <c r="B11" s="6" t="s">
        <v>55</v>
      </c>
      <c r="C11" s="5">
        <v>1562</v>
      </c>
      <c r="D11" s="133"/>
      <c r="E11" s="5">
        <v>1265</v>
      </c>
      <c r="F11" s="5"/>
    </row>
    <row r="12" spans="1:6" ht="15.75">
      <c r="A12" s="6"/>
      <c r="B12" s="6" t="s">
        <v>76</v>
      </c>
      <c r="C12" s="5">
        <v>10073</v>
      </c>
      <c r="D12" s="133"/>
      <c r="E12" s="5">
        <v>10073</v>
      </c>
      <c r="F12" s="5"/>
    </row>
    <row r="13" spans="1:6" ht="15.75">
      <c r="A13" s="6"/>
      <c r="B13" s="6"/>
      <c r="C13" s="10">
        <f>SUM(C10:C12)</f>
        <v>20265</v>
      </c>
      <c r="D13" s="133"/>
      <c r="E13" s="10">
        <f>SUM(E10:E12)</f>
        <v>18919</v>
      </c>
      <c r="F13" s="5"/>
    </row>
    <row r="14" spans="1:6" ht="15.75">
      <c r="A14" s="6"/>
      <c r="B14" s="6"/>
      <c r="C14" s="5"/>
      <c r="D14" s="133"/>
      <c r="E14" s="5"/>
      <c r="F14" s="5"/>
    </row>
    <row r="15" spans="2:9" ht="15.75">
      <c r="B15" s="6" t="s">
        <v>3</v>
      </c>
      <c r="C15" s="5"/>
      <c r="D15" s="133"/>
      <c r="E15" s="5"/>
      <c r="F15" s="5"/>
      <c r="H15" s="4"/>
      <c r="I15" s="4"/>
    </row>
    <row r="16" spans="2:6" ht="15.75">
      <c r="B16" s="6" t="s">
        <v>34</v>
      </c>
      <c r="C16" s="5">
        <v>13288</v>
      </c>
      <c r="D16" s="133"/>
      <c r="E16" s="5">
        <v>19628</v>
      </c>
      <c r="F16" s="5"/>
    </row>
    <row r="17" spans="2:6" ht="15.75">
      <c r="B17" s="6" t="s">
        <v>35</v>
      </c>
      <c r="C17" s="5">
        <v>973</v>
      </c>
      <c r="D17" s="133"/>
      <c r="E17" s="5">
        <v>1237</v>
      </c>
      <c r="F17" s="5"/>
    </row>
    <row r="18" spans="2:8" ht="15.75">
      <c r="B18" s="6" t="s">
        <v>40</v>
      </c>
      <c r="C18" s="5">
        <v>16470</v>
      </c>
      <c r="D18" s="133"/>
      <c r="E18" s="5">
        <v>12194</v>
      </c>
      <c r="F18" s="5"/>
      <c r="H18" s="4"/>
    </row>
    <row r="19" spans="2:6" ht="15.75">
      <c r="B19" s="6"/>
      <c r="C19" s="10">
        <f>SUM(C16:C18)</f>
        <v>30731</v>
      </c>
      <c r="D19" s="133"/>
      <c r="E19" s="10">
        <f>SUM(E16:E18)</f>
        <v>33059</v>
      </c>
      <c r="F19" s="5"/>
    </row>
    <row r="20" spans="1:6" ht="15.75">
      <c r="A20" s="6"/>
      <c r="B20" s="6"/>
      <c r="C20" s="133"/>
      <c r="D20" s="133"/>
      <c r="E20" s="133"/>
      <c r="F20" s="5"/>
    </row>
    <row r="21" spans="2:9" ht="15.75">
      <c r="B21" s="6" t="s">
        <v>4</v>
      </c>
      <c r="C21" s="5"/>
      <c r="D21" s="133"/>
      <c r="E21" s="5"/>
      <c r="F21" s="5"/>
      <c r="H21" s="4"/>
      <c r="I21" s="4"/>
    </row>
    <row r="22" spans="2:6" ht="15.75">
      <c r="B22" s="6" t="s">
        <v>41</v>
      </c>
      <c r="C22" s="5">
        <v>2636</v>
      </c>
      <c r="D22" s="133"/>
      <c r="E22" s="5">
        <v>2494</v>
      </c>
      <c r="F22" s="5"/>
    </row>
    <row r="23" spans="2:6" ht="15.75">
      <c r="B23" s="6" t="s">
        <v>42</v>
      </c>
      <c r="C23" s="5">
        <v>1895</v>
      </c>
      <c r="D23" s="133"/>
      <c r="E23" s="5">
        <v>2713</v>
      </c>
      <c r="F23" s="5"/>
    </row>
    <row r="24" spans="2:6" ht="15.75">
      <c r="B24" s="6" t="s">
        <v>89</v>
      </c>
      <c r="C24" s="5">
        <v>23</v>
      </c>
      <c r="D24" s="133"/>
      <c r="E24" s="5">
        <v>22</v>
      </c>
      <c r="F24" s="5"/>
    </row>
    <row r="25" spans="2:6" ht="15.75">
      <c r="B25" s="6" t="s">
        <v>38</v>
      </c>
      <c r="C25" s="5">
        <v>207</v>
      </c>
      <c r="D25" s="133"/>
      <c r="E25" s="5">
        <v>604</v>
      </c>
      <c r="F25" s="5"/>
    </row>
    <row r="26" spans="2:6" ht="15.75">
      <c r="B26" s="6"/>
      <c r="C26" s="10">
        <f>SUM(C22:C25)</f>
        <v>4761</v>
      </c>
      <c r="D26" s="133"/>
      <c r="E26" s="10">
        <f>SUM(E22:E25)</f>
        <v>5833</v>
      </c>
      <c r="F26" s="5"/>
    </row>
    <row r="27" spans="1:6" ht="15.75">
      <c r="A27" s="6"/>
      <c r="B27" s="6"/>
      <c r="C27" s="5"/>
      <c r="D27" s="133"/>
      <c r="E27" s="5"/>
      <c r="F27" s="5"/>
    </row>
    <row r="28" spans="2:6" ht="15.75">
      <c r="B28" s="6" t="s">
        <v>30</v>
      </c>
      <c r="C28" s="5">
        <f>C19-C26</f>
        <v>25970</v>
      </c>
      <c r="D28" s="133"/>
      <c r="E28" s="5">
        <f>E19-E26</f>
        <v>27226</v>
      </c>
      <c r="F28" s="5"/>
    </row>
    <row r="29" spans="2:6" ht="15.75">
      <c r="B29" s="6"/>
      <c r="C29" s="5"/>
      <c r="D29" s="133"/>
      <c r="E29" s="5"/>
      <c r="F29" s="5"/>
    </row>
    <row r="30" spans="2:6" ht="16.5" thickBot="1">
      <c r="B30" s="6"/>
      <c r="C30" s="135">
        <f>+C13+C28</f>
        <v>46235</v>
      </c>
      <c r="D30" s="133"/>
      <c r="E30" s="135">
        <f>+E13+E28</f>
        <v>46145</v>
      </c>
      <c r="F30" s="5"/>
    </row>
    <row r="31" spans="1:6" ht="16.5" thickTop="1">
      <c r="A31" s="6"/>
      <c r="B31" s="6"/>
      <c r="C31" s="133"/>
      <c r="D31" s="133"/>
      <c r="E31" s="133"/>
      <c r="F31" s="5"/>
    </row>
    <row r="32" spans="1:6" ht="15.75">
      <c r="A32" s="6"/>
      <c r="B32" s="6" t="s">
        <v>45</v>
      </c>
      <c r="C32" s="5"/>
      <c r="D32" s="133"/>
      <c r="E32" s="5"/>
      <c r="F32" s="5"/>
    </row>
    <row r="33" spans="1:6" ht="15.75">
      <c r="A33" s="6"/>
      <c r="B33" s="6" t="s">
        <v>43</v>
      </c>
      <c r="C33" s="5">
        <v>16352</v>
      </c>
      <c r="D33" s="133"/>
      <c r="E33" s="5">
        <v>16278</v>
      </c>
      <c r="F33" s="5"/>
    </row>
    <row r="34" spans="2:6" ht="15.75">
      <c r="B34" s="6" t="s">
        <v>44</v>
      </c>
      <c r="C34" s="5">
        <v>2352</v>
      </c>
      <c r="D34" s="133"/>
      <c r="E34" s="5">
        <v>2212</v>
      </c>
      <c r="F34" s="5"/>
    </row>
    <row r="35" spans="2:6" ht="15.75">
      <c r="B35" s="6" t="s">
        <v>49</v>
      </c>
      <c r="C35" s="5">
        <f>27982+39</f>
        <v>28021</v>
      </c>
      <c r="D35" s="133"/>
      <c r="E35" s="5">
        <v>31353</v>
      </c>
      <c r="F35" s="133"/>
    </row>
    <row r="36" spans="2:6" ht="15.75">
      <c r="B36" s="6" t="s">
        <v>151</v>
      </c>
      <c r="C36" s="5">
        <v>-2444</v>
      </c>
      <c r="D36" s="133"/>
      <c r="E36" s="5">
        <f>-4868</f>
        <v>-4868</v>
      </c>
      <c r="F36" s="133"/>
    </row>
    <row r="37" spans="2:6" ht="15.75">
      <c r="B37" s="6" t="s">
        <v>73</v>
      </c>
      <c r="C37" s="134">
        <v>-133</v>
      </c>
      <c r="D37" s="133"/>
      <c r="E37" s="134">
        <v>-87</v>
      </c>
      <c r="F37" s="5"/>
    </row>
    <row r="38" spans="2:6" ht="15.75">
      <c r="B38" s="6"/>
      <c r="C38" s="5">
        <f>SUM(C33:C37)</f>
        <v>44148</v>
      </c>
      <c r="D38" s="133"/>
      <c r="E38" s="5">
        <f>SUM(E33:E37)</f>
        <v>44888</v>
      </c>
      <c r="F38" s="5"/>
    </row>
    <row r="39" spans="2:6" ht="15.75">
      <c r="B39" s="6" t="s">
        <v>72</v>
      </c>
      <c r="C39" s="134">
        <v>2076</v>
      </c>
      <c r="D39" s="133"/>
      <c r="E39" s="134">
        <v>1222</v>
      </c>
      <c r="F39" s="5"/>
    </row>
    <row r="40" spans="2:6" ht="15.75">
      <c r="B40" s="6"/>
      <c r="C40" s="5">
        <f>SUM(C38:C39)</f>
        <v>46224</v>
      </c>
      <c r="D40" s="133"/>
      <c r="E40" s="5">
        <f>SUM(E38:E39)</f>
        <v>46110</v>
      </c>
      <c r="F40" s="5"/>
    </row>
    <row r="41" spans="2:6" ht="15.75">
      <c r="B41" s="6" t="s">
        <v>90</v>
      </c>
      <c r="C41" s="5">
        <v>11</v>
      </c>
      <c r="D41" s="133"/>
      <c r="E41" s="5">
        <v>35</v>
      </c>
      <c r="F41" s="5"/>
    </row>
    <row r="42" spans="2:6" ht="16.5" thickBot="1">
      <c r="B42" s="6"/>
      <c r="C42" s="135">
        <f>SUM(C40:C41)</f>
        <v>46235</v>
      </c>
      <c r="D42" s="133"/>
      <c r="E42" s="135">
        <f>SUM(E40:E41)</f>
        <v>46145</v>
      </c>
      <c r="F42" s="5"/>
    </row>
    <row r="43" spans="1:6" ht="16.5" thickTop="1">
      <c r="A43" s="6"/>
      <c r="B43" s="6"/>
      <c r="C43" s="5"/>
      <c r="D43" s="133"/>
      <c r="E43" s="5"/>
      <c r="F43" s="5"/>
    </row>
    <row r="44" spans="2:6" ht="15.75">
      <c r="B44" s="6" t="s">
        <v>145</v>
      </c>
      <c r="C44" s="147">
        <f>C40/C33*10</f>
        <v>28.268101761252446</v>
      </c>
      <c r="D44" s="153"/>
      <c r="E44" s="147">
        <f>E40/E33*10</f>
        <v>28.326575746406192</v>
      </c>
      <c r="F44" s="5"/>
    </row>
    <row r="45" spans="2:6" ht="15.75">
      <c r="B45" s="6" t="s">
        <v>159</v>
      </c>
      <c r="C45" s="147">
        <f>C38/C33*10</f>
        <v>26.99853228962818</v>
      </c>
      <c r="D45" s="153"/>
      <c r="E45" s="147">
        <f>E38/E33*10</f>
        <v>27.575869271409267</v>
      </c>
      <c r="F45" s="5"/>
    </row>
    <row r="46" spans="2:6" ht="15.75">
      <c r="B46" s="6" t="s">
        <v>169</v>
      </c>
      <c r="C46" s="12"/>
      <c r="D46" s="154"/>
      <c r="E46" s="12"/>
      <c r="F46" s="5"/>
    </row>
    <row r="47" spans="3:6" ht="15.75">
      <c r="C47" s="5"/>
      <c r="D47" s="133"/>
      <c r="E47" s="5"/>
      <c r="F47" s="5"/>
    </row>
    <row r="48" ht="15.75">
      <c r="B48" s="6" t="s">
        <v>85</v>
      </c>
    </row>
    <row r="49" spans="2:6" ht="15.75">
      <c r="B49" s="6" t="s">
        <v>166</v>
      </c>
      <c r="C49" s="5"/>
      <c r="D49" s="133"/>
      <c r="E49" s="5"/>
      <c r="F49" s="5"/>
    </row>
    <row r="50" spans="3:6" ht="15.75">
      <c r="C50" s="5"/>
      <c r="D50" s="133"/>
      <c r="E50" s="5"/>
      <c r="F50" s="5"/>
    </row>
    <row r="51" spans="3:6" ht="15.75">
      <c r="C51" s="5"/>
      <c r="D51" s="133"/>
      <c r="E51" s="5"/>
      <c r="F51" s="5"/>
    </row>
    <row r="52" spans="3:6" ht="15.75">
      <c r="C52" s="5"/>
      <c r="D52" s="133"/>
      <c r="E52" s="5"/>
      <c r="F52" s="5"/>
    </row>
    <row r="53" spans="3:6" ht="15.75">
      <c r="C53" s="5"/>
      <c r="D53" s="133"/>
      <c r="E53" s="5"/>
      <c r="F53" s="5"/>
    </row>
    <row r="54" spans="3:6" ht="15.75">
      <c r="C54" s="5"/>
      <c r="D54" s="133"/>
      <c r="E54" s="5"/>
      <c r="F54" s="5"/>
    </row>
    <row r="55" spans="3:6" ht="15.75">
      <c r="C55" s="5"/>
      <c r="D55" s="133"/>
      <c r="E55" s="5"/>
      <c r="F55" s="5"/>
    </row>
    <row r="56" spans="3:6" ht="15.75">
      <c r="C56" s="5"/>
      <c r="D56" s="133"/>
      <c r="E56" s="5"/>
      <c r="F56" s="5"/>
    </row>
    <row r="57" spans="3:6" ht="15.75">
      <c r="C57" s="5"/>
      <c r="D57" s="133"/>
      <c r="E57" s="5"/>
      <c r="F57" s="5"/>
    </row>
    <row r="58" spans="3:6" ht="15.75">
      <c r="C58" s="5"/>
      <c r="D58" s="133"/>
      <c r="E58" s="5"/>
      <c r="F58" s="5"/>
    </row>
    <row r="59" spans="3:6" ht="15.75">
      <c r="C59" s="5"/>
      <c r="D59" s="133"/>
      <c r="E59" s="5"/>
      <c r="F59" s="5"/>
    </row>
    <row r="60" spans="3:6" ht="15.75">
      <c r="C60" s="5"/>
      <c r="D60" s="133"/>
      <c r="E60" s="5"/>
      <c r="F60" s="5"/>
    </row>
    <row r="61" spans="3:6" ht="15.75">
      <c r="C61" s="5"/>
      <c r="D61" s="133"/>
      <c r="E61" s="5"/>
      <c r="F61" s="5"/>
    </row>
    <row r="62" spans="3:6" ht="15.75">
      <c r="C62" s="5"/>
      <c r="D62" s="133"/>
      <c r="E62" s="5"/>
      <c r="F62" s="5"/>
    </row>
    <row r="63" spans="3:6" ht="15.75">
      <c r="C63" s="5"/>
      <c r="D63" s="133"/>
      <c r="E63" s="5"/>
      <c r="F63" s="5"/>
    </row>
    <row r="64" spans="3:6" ht="15.75">
      <c r="C64" s="5"/>
      <c r="D64" s="133"/>
      <c r="E64" s="5"/>
      <c r="F64" s="5"/>
    </row>
    <row r="65" spans="3:6" ht="15.75">
      <c r="C65" s="5"/>
      <c r="D65" s="133"/>
      <c r="E65" s="5"/>
      <c r="F65" s="5"/>
    </row>
    <row r="66" spans="3:6" ht="15.75">
      <c r="C66" s="5"/>
      <c r="D66" s="133"/>
      <c r="E66" s="5"/>
      <c r="F66" s="5"/>
    </row>
    <row r="67" spans="3:6" ht="15.75">
      <c r="C67" s="5"/>
      <c r="D67" s="133"/>
      <c r="E67" s="5"/>
      <c r="F67" s="5"/>
    </row>
    <row r="68" spans="3:6" ht="15.75">
      <c r="C68" s="5"/>
      <c r="D68" s="133"/>
      <c r="E68" s="5"/>
      <c r="F68" s="5"/>
    </row>
    <row r="69" spans="3:6" ht="15.75">
      <c r="C69" s="5"/>
      <c r="D69" s="133"/>
      <c r="E69" s="5"/>
      <c r="F69" s="5"/>
    </row>
    <row r="70" spans="3:6" ht="15.75">
      <c r="C70" s="5"/>
      <c r="D70" s="133"/>
      <c r="E70" s="5"/>
      <c r="F70" s="5"/>
    </row>
    <row r="71" spans="3:6" ht="15.75">
      <c r="C71" s="5"/>
      <c r="D71" s="133"/>
      <c r="E71" s="5"/>
      <c r="F71" s="5"/>
    </row>
    <row r="72" spans="3:6" ht="15.75">
      <c r="C72" s="5"/>
      <c r="D72" s="133"/>
      <c r="E72" s="5"/>
      <c r="F72" s="5"/>
    </row>
    <row r="73" spans="3:6" ht="15.75">
      <c r="C73" s="5"/>
      <c r="D73" s="133"/>
      <c r="E73" s="5"/>
      <c r="F73" s="5"/>
    </row>
    <row r="74" spans="3:6" ht="15.75">
      <c r="C74" s="5"/>
      <c r="D74" s="133"/>
      <c r="E74" s="5"/>
      <c r="F74" s="5"/>
    </row>
    <row r="75" spans="3:6" ht="15.75">
      <c r="C75" s="5"/>
      <c r="D75" s="133"/>
      <c r="E75" s="5"/>
      <c r="F75" s="5"/>
    </row>
    <row r="76" spans="3:6" ht="15.75">
      <c r="C76" s="5"/>
      <c r="D76" s="133"/>
      <c r="E76" s="5"/>
      <c r="F76" s="5"/>
    </row>
    <row r="77" spans="3:6" ht="15.75">
      <c r="C77" s="5"/>
      <c r="D77" s="133"/>
      <c r="E77" s="5"/>
      <c r="F77" s="5"/>
    </row>
    <row r="78" spans="3:6" ht="15.75">
      <c r="C78" s="5"/>
      <c r="D78" s="133"/>
      <c r="E78" s="5"/>
      <c r="F78" s="5"/>
    </row>
    <row r="79" spans="3:6" ht="15.75">
      <c r="C79" s="5"/>
      <c r="D79" s="133"/>
      <c r="E79" s="5"/>
      <c r="F79" s="5"/>
    </row>
    <row r="80" spans="3:6" ht="15.75">
      <c r="C80" s="5"/>
      <c r="D80" s="133"/>
      <c r="E80" s="5"/>
      <c r="F80" s="5"/>
    </row>
    <row r="81" spans="3:6" ht="15.75">
      <c r="C81" s="5"/>
      <c r="D81" s="133"/>
      <c r="E81" s="5"/>
      <c r="F81" s="5"/>
    </row>
    <row r="82" spans="3:6" ht="15.75">
      <c r="C82" s="5"/>
      <c r="D82" s="133"/>
      <c r="E82" s="5"/>
      <c r="F82" s="5"/>
    </row>
    <row r="83" spans="3:6" ht="15.75">
      <c r="C83" s="5"/>
      <c r="D83" s="133"/>
      <c r="E83" s="5"/>
      <c r="F83" s="5"/>
    </row>
    <row r="84" spans="3:6" ht="15.75">
      <c r="C84" s="5"/>
      <c r="D84" s="133"/>
      <c r="E84" s="5"/>
      <c r="F84" s="5"/>
    </row>
    <row r="85" spans="3:6" ht="15.75">
      <c r="C85" s="5"/>
      <c r="D85" s="133"/>
      <c r="E85" s="5"/>
      <c r="F85" s="5"/>
    </row>
    <row r="86" spans="3:6" ht="15.75">
      <c r="C86" s="5"/>
      <c r="D86" s="133"/>
      <c r="E86" s="5"/>
      <c r="F86" s="5"/>
    </row>
    <row r="87" spans="3:6" ht="15.75">
      <c r="C87" s="5"/>
      <c r="D87" s="133"/>
      <c r="E87" s="5"/>
      <c r="F87" s="5"/>
    </row>
    <row r="88" spans="3:6" ht="15.75">
      <c r="C88" s="5"/>
      <c r="D88" s="133"/>
      <c r="E88" s="5"/>
      <c r="F88" s="5"/>
    </row>
    <row r="89" spans="3:6" ht="15.75">
      <c r="C89" s="5"/>
      <c r="D89" s="133"/>
      <c r="E89" s="5"/>
      <c r="F89" s="5"/>
    </row>
    <row r="90" spans="3:6" ht="15.75">
      <c r="C90" s="5"/>
      <c r="D90" s="133"/>
      <c r="E90" s="5"/>
      <c r="F90" s="5"/>
    </row>
    <row r="91" spans="3:6" ht="15.75">
      <c r="C91" s="5"/>
      <c r="D91" s="133"/>
      <c r="E91" s="5"/>
      <c r="F91" s="5"/>
    </row>
    <row r="92" spans="3:6" ht="15.75">
      <c r="C92" s="5"/>
      <c r="D92" s="133"/>
      <c r="E92" s="5"/>
      <c r="F92" s="5"/>
    </row>
    <row r="93" spans="3:6" ht="15.75">
      <c r="C93" s="5"/>
      <c r="D93" s="133"/>
      <c r="E93" s="5"/>
      <c r="F93" s="5"/>
    </row>
    <row r="94" spans="3:6" ht="15.75">
      <c r="C94" s="5"/>
      <c r="D94" s="133"/>
      <c r="E94" s="5"/>
      <c r="F94" s="5"/>
    </row>
    <row r="95" spans="3:6" ht="15.75">
      <c r="C95" s="5"/>
      <c r="D95" s="133"/>
      <c r="E95" s="5"/>
      <c r="F95" s="5"/>
    </row>
    <row r="96" spans="3:6" ht="15.75">
      <c r="C96" s="5"/>
      <c r="D96" s="133"/>
      <c r="E96" s="5"/>
      <c r="F96" s="5"/>
    </row>
    <row r="97" spans="3:6" ht="15.75">
      <c r="C97" s="5"/>
      <c r="D97" s="133"/>
      <c r="E97" s="5"/>
      <c r="F97" s="5"/>
    </row>
    <row r="98" spans="3:6" ht="15.75">
      <c r="C98" s="5"/>
      <c r="D98" s="133"/>
      <c r="E98" s="5"/>
      <c r="F98" s="5"/>
    </row>
    <row r="99" spans="3:6" ht="15.75">
      <c r="C99" s="5"/>
      <c r="D99" s="133"/>
      <c r="E99" s="5"/>
      <c r="F99" s="5"/>
    </row>
    <row r="100" spans="3:6" ht="15.75">
      <c r="C100" s="5"/>
      <c r="D100" s="133"/>
      <c r="E100" s="5"/>
      <c r="F100" s="5"/>
    </row>
    <row r="101" spans="3:6" ht="15.75">
      <c r="C101" s="5"/>
      <c r="D101" s="133"/>
      <c r="E101" s="5"/>
      <c r="F101" s="5"/>
    </row>
    <row r="102" spans="3:6" ht="15.75">
      <c r="C102" s="5"/>
      <c r="D102" s="133"/>
      <c r="E102" s="5"/>
      <c r="F102" s="5"/>
    </row>
    <row r="103" spans="3:6" ht="15.75">
      <c r="C103" s="5"/>
      <c r="D103" s="133"/>
      <c r="E103" s="5"/>
      <c r="F103" s="5"/>
    </row>
    <row r="104" spans="3:6" ht="15.75">
      <c r="C104" s="5"/>
      <c r="D104" s="133"/>
      <c r="E104" s="5"/>
      <c r="F104" s="5"/>
    </row>
    <row r="105" spans="3:6" ht="15.75">
      <c r="C105" s="5"/>
      <c r="D105" s="133"/>
      <c r="E105" s="5"/>
      <c r="F105" s="5"/>
    </row>
    <row r="106" spans="3:6" ht="15.75">
      <c r="C106" s="5"/>
      <c r="D106" s="133"/>
      <c r="E106" s="5"/>
      <c r="F106" s="5"/>
    </row>
    <row r="107" spans="3:6" ht="15.75">
      <c r="C107" s="5"/>
      <c r="D107" s="133"/>
      <c r="E107" s="5"/>
      <c r="F107" s="5"/>
    </row>
    <row r="108" spans="3:6" ht="15.75">
      <c r="C108" s="5"/>
      <c r="D108" s="133"/>
      <c r="E108" s="5"/>
      <c r="F108" s="5"/>
    </row>
    <row r="109" spans="3:6" ht="15.75">
      <c r="C109" s="5"/>
      <c r="D109" s="133"/>
      <c r="E109" s="5"/>
      <c r="F109" s="5"/>
    </row>
    <row r="110" spans="3:6" ht="15.75">
      <c r="C110" s="5"/>
      <c r="D110" s="133"/>
      <c r="E110" s="5"/>
      <c r="F110" s="5"/>
    </row>
    <row r="111" spans="3:6" ht="15.75">
      <c r="C111" s="5"/>
      <c r="D111" s="133"/>
      <c r="E111" s="5"/>
      <c r="F111" s="5"/>
    </row>
    <row r="112" spans="3:6" ht="15.75">
      <c r="C112" s="5"/>
      <c r="D112" s="133"/>
      <c r="E112" s="5"/>
      <c r="F112" s="5"/>
    </row>
    <row r="113" spans="3:6" ht="15.75">
      <c r="C113" s="5"/>
      <c r="D113" s="133"/>
      <c r="E113" s="5"/>
      <c r="F113" s="5"/>
    </row>
    <row r="114" spans="3:6" ht="15.75">
      <c r="C114" s="5"/>
      <c r="D114" s="133"/>
      <c r="E114" s="5"/>
      <c r="F114" s="5"/>
    </row>
    <row r="115" spans="3:6" ht="15.75">
      <c r="C115" s="5"/>
      <c r="D115" s="133"/>
      <c r="E115" s="5"/>
      <c r="F115" s="5"/>
    </row>
    <row r="116" spans="3:6" ht="15.75">
      <c r="C116" s="5"/>
      <c r="D116" s="133"/>
      <c r="E116" s="5"/>
      <c r="F116" s="5"/>
    </row>
    <row r="117" spans="3:6" ht="15.75">
      <c r="C117" s="5"/>
      <c r="D117" s="133"/>
      <c r="E117" s="5"/>
      <c r="F117" s="5"/>
    </row>
    <row r="118" spans="3:6" ht="15.75">
      <c r="C118" s="5"/>
      <c r="D118" s="133"/>
      <c r="E118" s="5"/>
      <c r="F118" s="5"/>
    </row>
    <row r="119" spans="3:6" ht="15.75">
      <c r="C119" s="5"/>
      <c r="D119" s="133"/>
      <c r="E119" s="5"/>
      <c r="F119" s="5"/>
    </row>
    <row r="120" spans="3:6" ht="15.75">
      <c r="C120" s="5"/>
      <c r="D120" s="133"/>
      <c r="E120" s="5"/>
      <c r="F120" s="5"/>
    </row>
    <row r="121" spans="3:6" ht="15.75">
      <c r="C121" s="5"/>
      <c r="D121" s="133"/>
      <c r="E121" s="5"/>
      <c r="F121" s="5"/>
    </row>
    <row r="122" spans="3:6" ht="15.75">
      <c r="C122" s="5"/>
      <c r="D122" s="133"/>
      <c r="E122" s="5"/>
      <c r="F122" s="5"/>
    </row>
    <row r="123" spans="3:6" ht="15.75">
      <c r="C123" s="5"/>
      <c r="D123" s="133"/>
      <c r="E123" s="5"/>
      <c r="F123" s="5"/>
    </row>
    <row r="124" spans="3:6" ht="15.75">
      <c r="C124" s="5"/>
      <c r="D124" s="133"/>
      <c r="E124" s="5"/>
      <c r="F124" s="5"/>
    </row>
    <row r="125" spans="3:6" ht="15.75">
      <c r="C125" s="5"/>
      <c r="D125" s="133"/>
      <c r="E125" s="5"/>
      <c r="F125" s="5"/>
    </row>
    <row r="126" spans="3:6" ht="15.75">
      <c r="C126" s="5"/>
      <c r="D126" s="133"/>
      <c r="E126" s="5"/>
      <c r="F126" s="5"/>
    </row>
    <row r="127" spans="3:6" ht="15.75">
      <c r="C127" s="5"/>
      <c r="D127" s="133"/>
      <c r="E127" s="5"/>
      <c r="F127" s="5"/>
    </row>
    <row r="128" spans="3:6" ht="15.75">
      <c r="C128" s="5"/>
      <c r="D128" s="133"/>
      <c r="E128" s="5"/>
      <c r="F128" s="5"/>
    </row>
    <row r="129" spans="3:6" ht="15.75">
      <c r="C129" s="5"/>
      <c r="D129" s="133"/>
      <c r="E129" s="5"/>
      <c r="F129" s="5"/>
    </row>
    <row r="130" spans="3:6" ht="15.75">
      <c r="C130" s="5"/>
      <c r="D130" s="133"/>
      <c r="E130" s="5"/>
      <c r="F130" s="5"/>
    </row>
    <row r="131" spans="3:6" ht="15.75">
      <c r="C131" s="5"/>
      <c r="D131" s="133"/>
      <c r="E131" s="5"/>
      <c r="F131" s="5"/>
    </row>
    <row r="132" spans="3:6" ht="15.75">
      <c r="C132" s="5"/>
      <c r="D132" s="133"/>
      <c r="E132" s="5"/>
      <c r="F132" s="5"/>
    </row>
    <row r="133" spans="3:6" ht="15.75">
      <c r="C133" s="5"/>
      <c r="D133" s="133"/>
      <c r="E133" s="5"/>
      <c r="F133" s="5"/>
    </row>
    <row r="134" spans="3:6" ht="15.75">
      <c r="C134" s="5"/>
      <c r="D134" s="133"/>
      <c r="E134" s="5"/>
      <c r="F134" s="5"/>
    </row>
    <row r="135" spans="3:6" ht="15.75">
      <c r="C135" s="5"/>
      <c r="D135" s="133"/>
      <c r="E135" s="5"/>
      <c r="F135" s="5"/>
    </row>
    <row r="136" spans="3:6" ht="15.75">
      <c r="C136" s="5"/>
      <c r="D136" s="133"/>
      <c r="E136" s="5"/>
      <c r="F136" s="5"/>
    </row>
    <row r="137" spans="3:6" ht="15.75">
      <c r="C137" s="5"/>
      <c r="D137" s="133"/>
      <c r="E137" s="5"/>
      <c r="F137" s="5"/>
    </row>
    <row r="138" spans="3:6" ht="15.75">
      <c r="C138" s="5"/>
      <c r="D138" s="133"/>
      <c r="E138" s="5"/>
      <c r="F138" s="5"/>
    </row>
    <row r="139" spans="3:6" ht="15.75">
      <c r="C139" s="5"/>
      <c r="D139" s="133"/>
      <c r="E139" s="5"/>
      <c r="F139" s="5"/>
    </row>
    <row r="140" spans="3:6" ht="15.75">
      <c r="C140" s="5"/>
      <c r="D140" s="133"/>
      <c r="E140" s="5"/>
      <c r="F140" s="5"/>
    </row>
    <row r="141" spans="3:6" ht="15.75">
      <c r="C141" s="5"/>
      <c r="D141" s="133"/>
      <c r="E141" s="5"/>
      <c r="F141" s="5"/>
    </row>
    <row r="142" spans="3:6" ht="15.75">
      <c r="C142" s="5"/>
      <c r="D142" s="133"/>
      <c r="E142" s="5"/>
      <c r="F142" s="5"/>
    </row>
    <row r="143" spans="3:6" ht="15.75">
      <c r="C143" s="5"/>
      <c r="D143" s="133"/>
      <c r="E143" s="5"/>
      <c r="F143" s="5"/>
    </row>
    <row r="144" spans="3:6" ht="15.75">
      <c r="C144" s="5"/>
      <c r="D144" s="133"/>
      <c r="E144" s="5"/>
      <c r="F144" s="5"/>
    </row>
    <row r="145" spans="3:6" ht="15.75">
      <c r="C145" s="5"/>
      <c r="D145" s="133"/>
      <c r="E145" s="5"/>
      <c r="F145" s="5"/>
    </row>
    <row r="146" spans="3:6" ht="15.75">
      <c r="C146" s="5"/>
      <c r="D146" s="133"/>
      <c r="E146" s="5"/>
      <c r="F146" s="5"/>
    </row>
    <row r="147" spans="3:6" ht="15.75">
      <c r="C147" s="5"/>
      <c r="D147" s="133"/>
      <c r="E147" s="5"/>
      <c r="F147" s="5"/>
    </row>
    <row r="148" spans="3:6" ht="15.75">
      <c r="C148" s="5"/>
      <c r="D148" s="133"/>
      <c r="E148" s="5"/>
      <c r="F148" s="5"/>
    </row>
    <row r="149" spans="3:6" ht="15.75">
      <c r="C149" s="5"/>
      <c r="D149" s="133"/>
      <c r="E149" s="5"/>
      <c r="F149" s="5"/>
    </row>
    <row r="150" spans="3:6" ht="15.75">
      <c r="C150" s="5"/>
      <c r="D150" s="133"/>
      <c r="E150" s="5"/>
      <c r="F150" s="5"/>
    </row>
    <row r="151" spans="3:6" ht="15.75">
      <c r="C151" s="5"/>
      <c r="D151" s="133"/>
      <c r="E151" s="5"/>
      <c r="F151" s="5"/>
    </row>
    <row r="152" spans="3:6" ht="15.75">
      <c r="C152" s="5"/>
      <c r="D152" s="133"/>
      <c r="E152" s="5"/>
      <c r="F152" s="5"/>
    </row>
    <row r="153" spans="3:6" ht="15.75">
      <c r="C153" s="5"/>
      <c r="D153" s="133"/>
      <c r="E153" s="5"/>
      <c r="F153" s="5"/>
    </row>
    <row r="154" spans="3:6" ht="15.75">
      <c r="C154" s="5"/>
      <c r="D154" s="133"/>
      <c r="E154" s="5"/>
      <c r="F154" s="5"/>
    </row>
    <row r="155" spans="3:6" ht="15.75">
      <c r="C155" s="5"/>
      <c r="D155" s="133"/>
      <c r="E155" s="5"/>
      <c r="F155" s="5"/>
    </row>
    <row r="156" spans="3:6" ht="15.75">
      <c r="C156" s="5"/>
      <c r="D156" s="133"/>
      <c r="E156" s="5"/>
      <c r="F156" s="5"/>
    </row>
    <row r="157" spans="3:6" ht="15.75">
      <c r="C157" s="5"/>
      <c r="D157" s="133"/>
      <c r="E157" s="5"/>
      <c r="F157" s="5"/>
    </row>
    <row r="158" spans="3:6" ht="15.75">
      <c r="C158" s="5"/>
      <c r="D158" s="133"/>
      <c r="E158" s="5"/>
      <c r="F158" s="5"/>
    </row>
    <row r="159" spans="3:6" ht="15.75">
      <c r="C159" s="5"/>
      <c r="D159" s="133"/>
      <c r="E159" s="5"/>
      <c r="F159" s="5"/>
    </row>
    <row r="160" spans="3:6" ht="15.75">
      <c r="C160" s="5"/>
      <c r="D160" s="133"/>
      <c r="E160" s="5"/>
      <c r="F160" s="5"/>
    </row>
    <row r="161" spans="3:6" ht="15.75">
      <c r="C161" s="5"/>
      <c r="D161" s="133"/>
      <c r="E161" s="5"/>
      <c r="F161" s="5"/>
    </row>
    <row r="162" spans="3:6" ht="15.75">
      <c r="C162" s="5"/>
      <c r="D162" s="133"/>
      <c r="E162" s="5"/>
      <c r="F162" s="5"/>
    </row>
    <row r="163" spans="3:6" ht="15.75">
      <c r="C163" s="5"/>
      <c r="D163" s="133"/>
      <c r="E163" s="5"/>
      <c r="F163" s="5"/>
    </row>
    <row r="164" spans="3:6" ht="15.75">
      <c r="C164" s="5"/>
      <c r="D164" s="133"/>
      <c r="E164" s="5"/>
      <c r="F164" s="5"/>
    </row>
    <row r="165" spans="3:6" ht="15.75">
      <c r="C165" s="5"/>
      <c r="D165" s="133"/>
      <c r="E165" s="5"/>
      <c r="F165" s="5"/>
    </row>
    <row r="166" spans="3:6" ht="15.75">
      <c r="C166" s="5"/>
      <c r="D166" s="133"/>
      <c r="E166" s="5"/>
      <c r="F166" s="5"/>
    </row>
    <row r="167" spans="3:6" ht="15.75">
      <c r="C167" s="5"/>
      <c r="D167" s="133"/>
      <c r="E167" s="5"/>
      <c r="F167" s="5"/>
    </row>
    <row r="168" spans="3:6" ht="15.75">
      <c r="C168" s="5"/>
      <c r="D168" s="133"/>
      <c r="E168" s="5"/>
      <c r="F168" s="5"/>
    </row>
    <row r="169" spans="3:6" ht="15.75">
      <c r="C169" s="5"/>
      <c r="D169" s="133"/>
      <c r="E169" s="5"/>
      <c r="F169" s="5"/>
    </row>
    <row r="170" spans="3:6" ht="15.75">
      <c r="C170" s="5"/>
      <c r="D170" s="133"/>
      <c r="E170" s="5"/>
      <c r="F170" s="5"/>
    </row>
    <row r="171" spans="3:6" ht="15.75">
      <c r="C171" s="5"/>
      <c r="D171" s="133"/>
      <c r="E171" s="5"/>
      <c r="F171" s="5"/>
    </row>
    <row r="172" spans="3:6" ht="15.75">
      <c r="C172" s="5"/>
      <c r="D172" s="133"/>
      <c r="E172" s="5"/>
      <c r="F172" s="5"/>
    </row>
    <row r="173" spans="3:6" ht="15.75">
      <c r="C173" s="5"/>
      <c r="D173" s="133"/>
      <c r="E173" s="5"/>
      <c r="F173" s="5"/>
    </row>
    <row r="174" spans="3:6" ht="15.75">
      <c r="C174" s="5"/>
      <c r="D174" s="133"/>
      <c r="E174" s="5"/>
      <c r="F174" s="5"/>
    </row>
    <row r="175" spans="3:6" ht="15.75">
      <c r="C175" s="5"/>
      <c r="D175" s="133"/>
      <c r="E175" s="5"/>
      <c r="F175" s="5"/>
    </row>
    <row r="176" spans="3:6" ht="15.75">
      <c r="C176" s="5"/>
      <c r="D176" s="133"/>
      <c r="E176" s="5"/>
      <c r="F176" s="5"/>
    </row>
    <row r="177" spans="3:6" ht="15.75">
      <c r="C177" s="5"/>
      <c r="D177" s="133"/>
      <c r="E177" s="5"/>
      <c r="F177" s="5"/>
    </row>
    <row r="178" spans="3:6" ht="15.75">
      <c r="C178" s="5"/>
      <c r="D178" s="133"/>
      <c r="E178" s="5"/>
      <c r="F178" s="5"/>
    </row>
    <row r="179" spans="3:6" ht="15.75">
      <c r="C179" s="5"/>
      <c r="D179" s="133"/>
      <c r="E179" s="5"/>
      <c r="F179" s="5"/>
    </row>
    <row r="180" spans="3:6" ht="15.75">
      <c r="C180" s="5"/>
      <c r="D180" s="133"/>
      <c r="E180" s="5"/>
      <c r="F180" s="5"/>
    </row>
    <row r="181" spans="3:6" ht="15.75">
      <c r="C181" s="5"/>
      <c r="D181" s="133"/>
      <c r="E181" s="5"/>
      <c r="F181" s="5"/>
    </row>
    <row r="182" spans="3:6" ht="15.75">
      <c r="C182" s="5"/>
      <c r="D182" s="133"/>
      <c r="E182" s="5"/>
      <c r="F182" s="5"/>
    </row>
    <row r="183" spans="3:6" ht="15.75">
      <c r="C183" s="5"/>
      <c r="D183" s="133"/>
      <c r="E183" s="5"/>
      <c r="F183" s="5"/>
    </row>
    <row r="184" spans="3:6" ht="15.75">
      <c r="C184" s="5"/>
      <c r="D184" s="133"/>
      <c r="E184" s="5"/>
      <c r="F184" s="5"/>
    </row>
    <row r="185" spans="3:6" ht="15.75">
      <c r="C185" s="5"/>
      <c r="D185" s="133"/>
      <c r="E185" s="5"/>
      <c r="F185" s="5"/>
    </row>
    <row r="186" spans="3:6" ht="15.75">
      <c r="C186" s="5"/>
      <c r="D186" s="133"/>
      <c r="E186" s="5"/>
      <c r="F186" s="5"/>
    </row>
    <row r="187" spans="3:6" ht="15.75">
      <c r="C187" s="5"/>
      <c r="D187" s="133"/>
      <c r="E187" s="5"/>
      <c r="F187" s="5"/>
    </row>
    <row r="188" spans="3:6" ht="15.75">
      <c r="C188" s="5"/>
      <c r="D188" s="133"/>
      <c r="E188" s="5"/>
      <c r="F188" s="5"/>
    </row>
    <row r="189" spans="3:6" ht="15.75">
      <c r="C189" s="5"/>
      <c r="D189" s="133"/>
      <c r="E189" s="5"/>
      <c r="F189" s="5"/>
    </row>
    <row r="190" spans="3:6" ht="15.75">
      <c r="C190" s="5"/>
      <c r="D190" s="133"/>
      <c r="E190" s="5"/>
      <c r="F190" s="5"/>
    </row>
    <row r="191" spans="3:6" ht="15.75">
      <c r="C191" s="5"/>
      <c r="D191" s="133"/>
      <c r="E191" s="5"/>
      <c r="F191" s="5"/>
    </row>
    <row r="192" spans="3:6" ht="15.75">
      <c r="C192" s="5"/>
      <c r="D192" s="133"/>
      <c r="E192" s="5"/>
      <c r="F192" s="5"/>
    </row>
    <row r="193" spans="3:6" ht="15.75">
      <c r="C193" s="5"/>
      <c r="D193" s="133"/>
      <c r="E193" s="5"/>
      <c r="F193" s="5"/>
    </row>
    <row r="194" spans="3:6" ht="15.75">
      <c r="C194" s="5"/>
      <c r="D194" s="133"/>
      <c r="E194" s="5"/>
      <c r="F194" s="5"/>
    </row>
    <row r="195" spans="3:6" ht="15.75">
      <c r="C195" s="5"/>
      <c r="D195" s="133"/>
      <c r="E195" s="5"/>
      <c r="F195" s="5"/>
    </row>
    <row r="196" spans="3:6" ht="15.75">
      <c r="C196" s="5"/>
      <c r="D196" s="133"/>
      <c r="E196" s="5"/>
      <c r="F196" s="5"/>
    </row>
    <row r="197" spans="3:6" ht="15.75">
      <c r="C197" s="5"/>
      <c r="D197" s="133"/>
      <c r="E197" s="5"/>
      <c r="F197" s="5"/>
    </row>
    <row r="198" spans="3:6" ht="15.75">
      <c r="C198" s="5"/>
      <c r="D198" s="133"/>
      <c r="E198" s="5"/>
      <c r="F198" s="5"/>
    </row>
    <row r="199" spans="3:6" ht="15.75">
      <c r="C199" s="5"/>
      <c r="D199" s="133"/>
      <c r="E199" s="5"/>
      <c r="F199" s="5"/>
    </row>
    <row r="200" spans="3:6" ht="15.75">
      <c r="C200" s="5"/>
      <c r="D200" s="133"/>
      <c r="E200" s="5"/>
      <c r="F200" s="5"/>
    </row>
    <row r="201" spans="3:6" ht="15.75">
      <c r="C201" s="5"/>
      <c r="D201" s="133"/>
      <c r="E201" s="5"/>
      <c r="F201" s="5"/>
    </row>
    <row r="202" spans="3:6" ht="15.75">
      <c r="C202" s="5"/>
      <c r="D202" s="133"/>
      <c r="E202" s="5"/>
      <c r="F202" s="5"/>
    </row>
    <row r="203" spans="3:6" ht="15.75">
      <c r="C203" s="5"/>
      <c r="D203" s="133"/>
      <c r="E203" s="5"/>
      <c r="F203" s="5"/>
    </row>
    <row r="204" spans="3:6" ht="15.75">
      <c r="C204" s="5"/>
      <c r="D204" s="133"/>
      <c r="E204" s="5"/>
      <c r="F204" s="5"/>
    </row>
    <row r="205" spans="3:6" ht="15.75">
      <c r="C205" s="5"/>
      <c r="D205" s="133"/>
      <c r="E205" s="5"/>
      <c r="F205" s="5"/>
    </row>
    <row r="206" spans="3:6" ht="15.75">
      <c r="C206" s="5"/>
      <c r="D206" s="133"/>
      <c r="E206" s="5"/>
      <c r="F206" s="5"/>
    </row>
    <row r="207" spans="3:6" ht="15.75">
      <c r="C207" s="5"/>
      <c r="D207" s="133"/>
      <c r="E207" s="5"/>
      <c r="F207" s="5"/>
    </row>
    <row r="208" spans="3:6" ht="15.75">
      <c r="C208" s="5"/>
      <c r="D208" s="133"/>
      <c r="E208" s="5"/>
      <c r="F208" s="5"/>
    </row>
    <row r="209" spans="3:6" ht="15.75">
      <c r="C209" s="5"/>
      <c r="D209" s="133"/>
      <c r="E209" s="5"/>
      <c r="F209" s="5"/>
    </row>
    <row r="210" spans="3:6" ht="15.75">
      <c r="C210" s="5"/>
      <c r="D210" s="133"/>
      <c r="E210" s="5"/>
      <c r="F210" s="5"/>
    </row>
    <row r="211" spans="3:6" ht="15.75">
      <c r="C211" s="5"/>
      <c r="D211" s="133"/>
      <c r="E211" s="5"/>
      <c r="F211" s="5"/>
    </row>
    <row r="212" spans="3:6" ht="15.75">
      <c r="C212" s="5"/>
      <c r="D212" s="133"/>
      <c r="E212" s="5"/>
      <c r="F212" s="5"/>
    </row>
    <row r="213" spans="3:6" ht="15.75">
      <c r="C213" s="5"/>
      <c r="D213" s="133"/>
      <c r="E213" s="5"/>
      <c r="F213" s="5"/>
    </row>
    <row r="214" spans="3:6" ht="15.75">
      <c r="C214" s="5"/>
      <c r="D214" s="133"/>
      <c r="E214" s="5"/>
      <c r="F214" s="5"/>
    </row>
    <row r="215" spans="3:6" ht="15.75">
      <c r="C215" s="5"/>
      <c r="D215" s="133"/>
      <c r="E215" s="5"/>
      <c r="F215" s="5"/>
    </row>
    <row r="216" spans="3:6" ht="15.75">
      <c r="C216" s="5"/>
      <c r="D216" s="133"/>
      <c r="E216" s="5"/>
      <c r="F216" s="5"/>
    </row>
    <row r="217" spans="3:6" ht="15.75">
      <c r="C217" s="5"/>
      <c r="D217" s="133"/>
      <c r="E217" s="5"/>
      <c r="F217" s="5"/>
    </row>
    <row r="218" spans="3:6" ht="15.75">
      <c r="C218" s="5"/>
      <c r="D218" s="133"/>
      <c r="E218" s="5"/>
      <c r="F218" s="5"/>
    </row>
    <row r="219" spans="3:6" ht="15.75">
      <c r="C219" s="5"/>
      <c r="D219" s="133"/>
      <c r="E219" s="5"/>
      <c r="F219" s="5"/>
    </row>
    <row r="220" spans="3:6" ht="15.75">
      <c r="C220" s="5"/>
      <c r="D220" s="133"/>
      <c r="E220" s="5"/>
      <c r="F220" s="5"/>
    </row>
    <row r="221" spans="3:6" ht="15.75">
      <c r="C221" s="5"/>
      <c r="D221" s="133"/>
      <c r="E221" s="5"/>
      <c r="F221" s="5"/>
    </row>
    <row r="222" spans="3:6" ht="15.75">
      <c r="C222" s="5"/>
      <c r="D222" s="133"/>
      <c r="E222" s="5"/>
      <c r="F222" s="5"/>
    </row>
    <row r="223" spans="3:6" ht="15.75">
      <c r="C223" s="5"/>
      <c r="D223" s="133"/>
      <c r="E223" s="5"/>
      <c r="F223" s="5"/>
    </row>
    <row r="224" spans="3:6" ht="15.75">
      <c r="C224" s="5"/>
      <c r="D224" s="133"/>
      <c r="E224" s="5"/>
      <c r="F224" s="5"/>
    </row>
    <row r="225" spans="3:6" ht="15.75">
      <c r="C225" s="5"/>
      <c r="D225" s="133"/>
      <c r="E225" s="5"/>
      <c r="F225" s="5"/>
    </row>
    <row r="226" spans="3:6" ht="15.75">
      <c r="C226" s="5"/>
      <c r="D226" s="133"/>
      <c r="E226" s="5"/>
      <c r="F226" s="5"/>
    </row>
    <row r="227" spans="3:6" ht="15.75">
      <c r="C227" s="5"/>
      <c r="D227" s="133"/>
      <c r="E227" s="5"/>
      <c r="F227" s="5"/>
    </row>
    <row r="228" spans="3:6" ht="15.75">
      <c r="C228" s="5"/>
      <c r="D228" s="133"/>
      <c r="E228" s="5"/>
      <c r="F228" s="5"/>
    </row>
    <row r="229" spans="3:6" ht="15.75">
      <c r="C229" s="5"/>
      <c r="D229" s="133"/>
      <c r="E229" s="5"/>
      <c r="F229" s="5"/>
    </row>
    <row r="230" spans="3:6" ht="15.75">
      <c r="C230" s="5"/>
      <c r="D230" s="133"/>
      <c r="E230" s="5"/>
      <c r="F230" s="5"/>
    </row>
    <row r="231" spans="3:6" ht="15.75">
      <c r="C231" s="5"/>
      <c r="D231" s="133"/>
      <c r="E231" s="5"/>
      <c r="F231" s="5"/>
    </row>
    <row r="232" spans="3:6" ht="15.75">
      <c r="C232" s="5"/>
      <c r="D232" s="133"/>
      <c r="E232" s="5"/>
      <c r="F232" s="5"/>
    </row>
    <row r="233" spans="3:6" ht="15.75">
      <c r="C233" s="5"/>
      <c r="D233" s="133"/>
      <c r="E233" s="5"/>
      <c r="F233" s="5"/>
    </row>
    <row r="234" spans="3:6" ht="15.75">
      <c r="C234" s="5"/>
      <c r="D234" s="133"/>
      <c r="E234" s="5"/>
      <c r="F234" s="5"/>
    </row>
    <row r="235" spans="3:6" ht="15.75">
      <c r="C235" s="5"/>
      <c r="D235" s="133"/>
      <c r="E235" s="5"/>
      <c r="F235" s="5"/>
    </row>
    <row r="236" spans="3:6" ht="15.75">
      <c r="C236" s="5"/>
      <c r="D236" s="133"/>
      <c r="E236" s="5"/>
      <c r="F236" s="5"/>
    </row>
    <row r="237" spans="3:6" ht="15.75">
      <c r="C237" s="5"/>
      <c r="D237" s="133"/>
      <c r="E237" s="5"/>
      <c r="F237" s="5"/>
    </row>
    <row r="238" spans="3:6" ht="15.75">
      <c r="C238" s="5"/>
      <c r="D238" s="133"/>
      <c r="E238" s="5"/>
      <c r="F238" s="5"/>
    </row>
    <row r="239" spans="3:6" ht="15.75">
      <c r="C239" s="5"/>
      <c r="D239" s="133"/>
      <c r="E239" s="5"/>
      <c r="F239" s="5"/>
    </row>
    <row r="240" spans="3:6" ht="15.75">
      <c r="C240" s="5"/>
      <c r="D240" s="133"/>
      <c r="E240" s="5"/>
      <c r="F240" s="5"/>
    </row>
    <row r="241" spans="3:6" ht="15.75">
      <c r="C241" s="5"/>
      <c r="D241" s="133"/>
      <c r="E241" s="5"/>
      <c r="F241" s="5"/>
    </row>
    <row r="242" spans="3:6" ht="15.75">
      <c r="C242" s="5"/>
      <c r="D242" s="133"/>
      <c r="E242" s="5"/>
      <c r="F242" s="5"/>
    </row>
    <row r="243" spans="3:6" ht="15.75">
      <c r="C243" s="5"/>
      <c r="D243" s="133"/>
      <c r="E243" s="5"/>
      <c r="F243" s="5"/>
    </row>
    <row r="244" spans="3:6" ht="15.75">
      <c r="C244" s="5"/>
      <c r="D244" s="133"/>
      <c r="E244" s="5"/>
      <c r="F244" s="5"/>
    </row>
    <row r="245" spans="3:6" ht="15.75">
      <c r="C245" s="5"/>
      <c r="D245" s="133"/>
      <c r="E245" s="5"/>
      <c r="F245" s="5"/>
    </row>
    <row r="246" spans="3:6" ht="15.75">
      <c r="C246" s="5"/>
      <c r="D246" s="133"/>
      <c r="E246" s="5"/>
      <c r="F246" s="5"/>
    </row>
    <row r="247" spans="3:6" ht="15.75">
      <c r="C247" s="5"/>
      <c r="D247" s="133"/>
      <c r="E247" s="5"/>
      <c r="F247" s="5"/>
    </row>
    <row r="248" spans="3:6" ht="15.75">
      <c r="C248" s="5"/>
      <c r="D248" s="133"/>
      <c r="E248" s="5"/>
      <c r="F248" s="5"/>
    </row>
    <row r="249" spans="3:6" ht="15.75">
      <c r="C249" s="5"/>
      <c r="D249" s="133"/>
      <c r="E249" s="5"/>
      <c r="F249" s="5"/>
    </row>
    <row r="250" spans="3:6" ht="15.75">
      <c r="C250" s="5"/>
      <c r="D250" s="133"/>
      <c r="E250" s="5"/>
      <c r="F250" s="5"/>
    </row>
    <row r="251" spans="3:6" ht="15.75">
      <c r="C251" s="5"/>
      <c r="D251" s="133"/>
      <c r="E251" s="5"/>
      <c r="F251" s="5"/>
    </row>
    <row r="252" spans="3:6" ht="15.75">
      <c r="C252" s="5"/>
      <c r="D252" s="133"/>
      <c r="E252" s="5"/>
      <c r="F252" s="5"/>
    </row>
    <row r="253" spans="3:6" ht="15.75">
      <c r="C253" s="5"/>
      <c r="D253" s="133"/>
      <c r="E253" s="5"/>
      <c r="F253" s="5"/>
    </row>
    <row r="254" spans="3:6" ht="15.75">
      <c r="C254" s="5"/>
      <c r="D254" s="133"/>
      <c r="E254" s="5"/>
      <c r="F254" s="5"/>
    </row>
    <row r="255" spans="3:6" ht="15.75">
      <c r="C255" s="5"/>
      <c r="D255" s="133"/>
      <c r="E255" s="5"/>
      <c r="F255" s="5"/>
    </row>
    <row r="256" spans="3:6" ht="15.75">
      <c r="C256" s="5"/>
      <c r="D256" s="133"/>
      <c r="E256" s="5"/>
      <c r="F256" s="5"/>
    </row>
    <row r="257" spans="3:6" ht="15.75">
      <c r="C257" s="5"/>
      <c r="D257" s="133"/>
      <c r="E257" s="5"/>
      <c r="F257" s="5"/>
    </row>
    <row r="258" spans="3:6" ht="15.75">
      <c r="C258" s="5"/>
      <c r="D258" s="133"/>
      <c r="E258" s="5"/>
      <c r="F258" s="5"/>
    </row>
    <row r="259" spans="3:6" ht="15.75">
      <c r="C259" s="5"/>
      <c r="D259" s="133"/>
      <c r="E259" s="5"/>
      <c r="F259" s="5"/>
    </row>
    <row r="260" spans="3:6" ht="15.75">
      <c r="C260" s="5"/>
      <c r="D260" s="133"/>
      <c r="E260" s="5"/>
      <c r="F260" s="5"/>
    </row>
    <row r="261" spans="3:6" ht="15.75">
      <c r="C261" s="5"/>
      <c r="D261" s="133"/>
      <c r="E261" s="5"/>
      <c r="F261" s="5"/>
    </row>
    <row r="262" spans="3:6" ht="15.75">
      <c r="C262" s="5"/>
      <c r="D262" s="133"/>
      <c r="E262" s="5"/>
      <c r="F262" s="5"/>
    </row>
    <row r="263" spans="3:6" ht="15.75">
      <c r="C263" s="5"/>
      <c r="D263" s="133"/>
      <c r="E263" s="5"/>
      <c r="F263" s="5"/>
    </row>
    <row r="264" spans="3:6" ht="15.75">
      <c r="C264" s="5"/>
      <c r="D264" s="133"/>
      <c r="E264" s="5"/>
      <c r="F264" s="5"/>
    </row>
    <row r="265" spans="3:6" ht="15.75">
      <c r="C265" s="5"/>
      <c r="D265" s="133"/>
      <c r="E265" s="5"/>
      <c r="F265" s="5"/>
    </row>
    <row r="266" spans="3:6" ht="15.75">
      <c r="C266" s="5"/>
      <c r="D266" s="133"/>
      <c r="E266" s="5"/>
      <c r="F266" s="5"/>
    </row>
    <row r="267" spans="3:6" ht="15.75">
      <c r="C267" s="5"/>
      <c r="D267" s="133"/>
      <c r="E267" s="5"/>
      <c r="F267" s="5"/>
    </row>
    <row r="268" spans="3:6" ht="15.75">
      <c r="C268" s="5"/>
      <c r="D268" s="133"/>
      <c r="E268" s="5"/>
      <c r="F268" s="5"/>
    </row>
    <row r="269" spans="3:6" ht="15.75">
      <c r="C269" s="5"/>
      <c r="D269" s="133"/>
      <c r="E269" s="5"/>
      <c r="F269" s="5"/>
    </row>
    <row r="270" spans="3:6" ht="15.75">
      <c r="C270" s="5"/>
      <c r="D270" s="133"/>
      <c r="E270" s="5"/>
      <c r="F270" s="5"/>
    </row>
    <row r="271" spans="3:6" ht="15.75">
      <c r="C271" s="5"/>
      <c r="D271" s="133"/>
      <c r="E271" s="5"/>
      <c r="F271" s="5"/>
    </row>
    <row r="272" spans="3:6" ht="15.75">
      <c r="C272" s="5"/>
      <c r="D272" s="133"/>
      <c r="E272" s="5"/>
      <c r="F272" s="5"/>
    </row>
    <row r="273" spans="3:6" ht="15.75">
      <c r="C273" s="5"/>
      <c r="D273" s="133"/>
      <c r="E273" s="5"/>
      <c r="F273" s="5"/>
    </row>
    <row r="274" spans="3:6" ht="15.75">
      <c r="C274" s="5"/>
      <c r="D274" s="133"/>
      <c r="E274" s="5"/>
      <c r="F274" s="5"/>
    </row>
    <row r="275" spans="3:6" ht="15.75">
      <c r="C275" s="5"/>
      <c r="D275" s="133"/>
      <c r="E275" s="5"/>
      <c r="F275" s="5"/>
    </row>
    <row r="276" spans="3:6" ht="15.75">
      <c r="C276" s="5"/>
      <c r="D276" s="133"/>
      <c r="E276" s="5"/>
      <c r="F276" s="5"/>
    </row>
    <row r="277" spans="3:6" ht="15.75">
      <c r="C277" s="5"/>
      <c r="D277" s="133"/>
      <c r="E277" s="5"/>
      <c r="F277" s="5"/>
    </row>
    <row r="278" spans="3:6" ht="15.75">
      <c r="C278" s="5"/>
      <c r="D278" s="133"/>
      <c r="E278" s="5"/>
      <c r="F278" s="5"/>
    </row>
    <row r="279" spans="3:6" ht="15.75">
      <c r="C279" s="5"/>
      <c r="D279" s="133"/>
      <c r="E279" s="5"/>
      <c r="F279" s="5"/>
    </row>
    <row r="280" spans="3:6" ht="15.75">
      <c r="C280" s="5"/>
      <c r="D280" s="133"/>
      <c r="E280" s="5"/>
      <c r="F280" s="5"/>
    </row>
    <row r="281" spans="3:6" ht="15.75">
      <c r="C281" s="5"/>
      <c r="D281" s="133"/>
      <c r="E281" s="5"/>
      <c r="F281" s="5"/>
    </row>
    <row r="282" spans="3:6" ht="15.75">
      <c r="C282" s="5"/>
      <c r="D282" s="133"/>
      <c r="E282" s="5"/>
      <c r="F282" s="5"/>
    </row>
    <row r="283" spans="3:6" ht="15.75">
      <c r="C283" s="5"/>
      <c r="D283" s="133"/>
      <c r="E283" s="5"/>
      <c r="F283" s="5"/>
    </row>
    <row r="284" spans="3:6" ht="15.75">
      <c r="C284" s="5"/>
      <c r="D284" s="133"/>
      <c r="E284" s="5"/>
      <c r="F284" s="5"/>
    </row>
    <row r="285" spans="3:6" ht="15.75">
      <c r="C285" s="5"/>
      <c r="D285" s="133"/>
      <c r="E285" s="5"/>
      <c r="F285" s="5"/>
    </row>
    <row r="286" spans="3:6" ht="15.75">
      <c r="C286" s="5"/>
      <c r="D286" s="133"/>
      <c r="E286" s="5"/>
      <c r="F286" s="5"/>
    </row>
    <row r="287" spans="3:6" ht="15.75">
      <c r="C287" s="5"/>
      <c r="D287" s="133"/>
      <c r="E287" s="5"/>
      <c r="F287" s="5"/>
    </row>
    <row r="288" spans="3:6" ht="15.75">
      <c r="C288" s="5"/>
      <c r="D288" s="133"/>
      <c r="E288" s="5"/>
      <c r="F288" s="5"/>
    </row>
    <row r="289" spans="3:6" ht="15.75">
      <c r="C289" s="5"/>
      <c r="D289" s="133"/>
      <c r="E289" s="5"/>
      <c r="F289" s="5"/>
    </row>
    <row r="290" spans="3:6" ht="15.75">
      <c r="C290" s="5"/>
      <c r="D290" s="133"/>
      <c r="E290" s="5"/>
      <c r="F290" s="5"/>
    </row>
    <row r="291" spans="3:6" ht="15.75">
      <c r="C291" s="5"/>
      <c r="D291" s="133"/>
      <c r="E291" s="5"/>
      <c r="F291" s="5"/>
    </row>
    <row r="292" spans="3:6" ht="15.75">
      <c r="C292" s="5"/>
      <c r="D292" s="133"/>
      <c r="E292" s="5"/>
      <c r="F292" s="5"/>
    </row>
    <row r="293" spans="3:6" ht="15.75">
      <c r="C293" s="5"/>
      <c r="D293" s="133"/>
      <c r="E293" s="5"/>
      <c r="F293" s="5"/>
    </row>
    <row r="294" spans="3:6" ht="15.75">
      <c r="C294" s="5"/>
      <c r="D294" s="133"/>
      <c r="E294" s="5"/>
      <c r="F294" s="5"/>
    </row>
    <row r="295" spans="3:6" ht="15.75">
      <c r="C295" s="5"/>
      <c r="D295" s="133"/>
      <c r="E295" s="5"/>
      <c r="F295" s="5"/>
    </row>
    <row r="296" spans="3:6" ht="15.75">
      <c r="C296" s="5"/>
      <c r="D296" s="133"/>
      <c r="E296" s="5"/>
      <c r="F296" s="5"/>
    </row>
    <row r="297" spans="3:6" ht="15.75">
      <c r="C297" s="5"/>
      <c r="D297" s="133"/>
      <c r="E297" s="5"/>
      <c r="F297" s="5"/>
    </row>
    <row r="298" spans="3:6" ht="15.75">
      <c r="C298" s="5"/>
      <c r="D298" s="133"/>
      <c r="E298" s="5"/>
      <c r="F298" s="5"/>
    </row>
    <row r="299" spans="3:6" ht="15.75">
      <c r="C299" s="5"/>
      <c r="D299" s="133"/>
      <c r="E299" s="5"/>
      <c r="F299" s="5"/>
    </row>
    <row r="300" spans="3:6" ht="15.75">
      <c r="C300" s="5"/>
      <c r="D300" s="133"/>
      <c r="E300" s="5"/>
      <c r="F300" s="5"/>
    </row>
    <row r="301" spans="3:6" ht="15.75">
      <c r="C301" s="5"/>
      <c r="D301" s="133"/>
      <c r="E301" s="5"/>
      <c r="F301" s="5"/>
    </row>
    <row r="302" spans="3:6" ht="15.75">
      <c r="C302" s="5"/>
      <c r="D302" s="133"/>
      <c r="E302" s="5"/>
      <c r="F302" s="5"/>
    </row>
    <row r="303" spans="3:6" ht="15.75">
      <c r="C303" s="5"/>
      <c r="D303" s="133"/>
      <c r="E303" s="5"/>
      <c r="F303" s="5"/>
    </row>
    <row r="304" spans="3:6" ht="15.75">
      <c r="C304" s="5"/>
      <c r="D304" s="133"/>
      <c r="E304" s="5"/>
      <c r="F304" s="5"/>
    </row>
    <row r="305" spans="3:6" ht="15.75">
      <c r="C305" s="5"/>
      <c r="D305" s="133"/>
      <c r="E305" s="5"/>
      <c r="F305" s="5"/>
    </row>
    <row r="306" spans="3:6" ht="15.75">
      <c r="C306" s="5"/>
      <c r="D306" s="133"/>
      <c r="E306" s="5"/>
      <c r="F306" s="5"/>
    </row>
    <row r="307" spans="3:6" ht="15.75">
      <c r="C307" s="5"/>
      <c r="D307" s="133"/>
      <c r="E307" s="5"/>
      <c r="F307" s="5"/>
    </row>
    <row r="308" spans="3:6" ht="15.75">
      <c r="C308" s="5"/>
      <c r="D308" s="133"/>
      <c r="E308" s="5"/>
      <c r="F308" s="5"/>
    </row>
    <row r="309" spans="3:6" ht="15.75">
      <c r="C309" s="5"/>
      <c r="D309" s="133"/>
      <c r="E309" s="5"/>
      <c r="F309" s="5"/>
    </row>
    <row r="310" spans="3:6" ht="15.75">
      <c r="C310" s="5"/>
      <c r="D310" s="133"/>
      <c r="E310" s="5"/>
      <c r="F310" s="5"/>
    </row>
    <row r="311" spans="3:6" ht="15.75">
      <c r="C311" s="5"/>
      <c r="D311" s="133"/>
      <c r="E311" s="5"/>
      <c r="F311" s="5"/>
    </row>
    <row r="312" spans="3:6" ht="15.75">
      <c r="C312" s="5"/>
      <c r="D312" s="133"/>
      <c r="E312" s="5"/>
      <c r="F312" s="5"/>
    </row>
    <row r="313" spans="3:6" ht="15.75">
      <c r="C313" s="5"/>
      <c r="D313" s="133"/>
      <c r="E313" s="5"/>
      <c r="F313" s="5"/>
    </row>
    <row r="314" spans="3:6" ht="15.75">
      <c r="C314" s="5"/>
      <c r="D314" s="133"/>
      <c r="E314" s="5"/>
      <c r="F314" s="5"/>
    </row>
    <row r="315" spans="3:6" ht="15.75">
      <c r="C315" s="5"/>
      <c r="D315" s="133"/>
      <c r="E315" s="5"/>
      <c r="F315" s="5"/>
    </row>
    <row r="316" spans="3:6" ht="15.75">
      <c r="C316" s="5"/>
      <c r="D316" s="133"/>
      <c r="E316" s="5"/>
      <c r="F316" s="5"/>
    </row>
    <row r="317" spans="3:6" ht="15.75">
      <c r="C317" s="5"/>
      <c r="D317" s="133"/>
      <c r="E317" s="5"/>
      <c r="F317" s="5"/>
    </row>
    <row r="318" spans="3:6" ht="15.75">
      <c r="C318" s="5"/>
      <c r="D318" s="133"/>
      <c r="E318" s="5"/>
      <c r="F318" s="5"/>
    </row>
    <row r="319" spans="3:6" ht="15.75">
      <c r="C319" s="5"/>
      <c r="D319" s="133"/>
      <c r="E319" s="5"/>
      <c r="F319" s="5"/>
    </row>
    <row r="320" spans="3:6" ht="15.75">
      <c r="C320" s="5"/>
      <c r="D320" s="133"/>
      <c r="E320" s="5"/>
      <c r="F320" s="5"/>
    </row>
    <row r="321" spans="3:6" ht="15.75">
      <c r="C321" s="5"/>
      <c r="D321" s="133"/>
      <c r="E321" s="5"/>
      <c r="F321" s="5"/>
    </row>
    <row r="322" spans="3:6" ht="15.75">
      <c r="C322" s="5"/>
      <c r="D322" s="133"/>
      <c r="E322" s="5"/>
      <c r="F322" s="5"/>
    </row>
    <row r="323" spans="3:6" ht="15.75">
      <c r="C323" s="5"/>
      <c r="D323" s="133"/>
      <c r="E323" s="5"/>
      <c r="F323" s="5"/>
    </row>
    <row r="324" spans="3:6" ht="15.75">
      <c r="C324" s="5"/>
      <c r="D324" s="133"/>
      <c r="E324" s="5"/>
      <c r="F324" s="5"/>
    </row>
    <row r="325" spans="3:6" ht="15.75">
      <c r="C325" s="5"/>
      <c r="D325" s="133"/>
      <c r="E325" s="5"/>
      <c r="F325" s="5"/>
    </row>
    <row r="326" spans="3:6" ht="15.75">
      <c r="C326" s="5"/>
      <c r="D326" s="133"/>
      <c r="E326" s="5"/>
      <c r="F326" s="5"/>
    </row>
    <row r="327" spans="3:6" ht="15.75">
      <c r="C327" s="5"/>
      <c r="D327" s="133"/>
      <c r="E327" s="5"/>
      <c r="F327" s="5"/>
    </row>
    <row r="328" spans="3:6" ht="15.75">
      <c r="C328" s="5"/>
      <c r="D328" s="133"/>
      <c r="E328" s="5"/>
      <c r="F328" s="5"/>
    </row>
    <row r="329" spans="3:6" ht="15.75">
      <c r="C329" s="5"/>
      <c r="D329" s="133"/>
      <c r="E329" s="5"/>
      <c r="F329" s="5"/>
    </row>
    <row r="330" spans="3:6" ht="15.75">
      <c r="C330" s="5"/>
      <c r="D330" s="133"/>
      <c r="E330" s="5"/>
      <c r="F330" s="5"/>
    </row>
    <row r="331" spans="3:6" ht="15.75">
      <c r="C331" s="5"/>
      <c r="D331" s="133"/>
      <c r="E331" s="5"/>
      <c r="F331" s="5"/>
    </row>
    <row r="332" spans="3:6" ht="15.75">
      <c r="C332" s="5"/>
      <c r="D332" s="133"/>
      <c r="E332" s="5"/>
      <c r="F332" s="5"/>
    </row>
    <row r="333" spans="3:6" ht="15.75">
      <c r="C333" s="5"/>
      <c r="D333" s="133"/>
      <c r="E333" s="5"/>
      <c r="F333" s="5"/>
    </row>
    <row r="334" spans="3:6" ht="15.75">
      <c r="C334" s="5"/>
      <c r="D334" s="133"/>
      <c r="E334" s="5"/>
      <c r="F334" s="5"/>
    </row>
    <row r="335" spans="3:6" ht="15.75">
      <c r="C335" s="5"/>
      <c r="D335" s="133"/>
      <c r="E335" s="5"/>
      <c r="F335" s="5"/>
    </row>
    <row r="336" spans="3:6" ht="15.75">
      <c r="C336" s="5"/>
      <c r="D336" s="133"/>
      <c r="E336" s="5"/>
      <c r="F336" s="5"/>
    </row>
    <row r="337" spans="3:6" ht="15.75">
      <c r="C337" s="5"/>
      <c r="D337" s="133"/>
      <c r="E337" s="5"/>
      <c r="F337" s="5"/>
    </row>
    <row r="338" spans="3:6" ht="15.75">
      <c r="C338" s="5"/>
      <c r="D338" s="133"/>
      <c r="E338" s="5"/>
      <c r="F338" s="5"/>
    </row>
    <row r="339" spans="3:6" ht="15.75">
      <c r="C339" s="5"/>
      <c r="D339" s="133"/>
      <c r="E339" s="5"/>
      <c r="F339" s="5"/>
    </row>
    <row r="340" spans="3:6" ht="15.75">
      <c r="C340" s="5"/>
      <c r="D340" s="133"/>
      <c r="E340" s="5"/>
      <c r="F340" s="5"/>
    </row>
    <row r="341" spans="3:6" ht="15.75">
      <c r="C341" s="5"/>
      <c r="D341" s="133"/>
      <c r="E341" s="5"/>
      <c r="F341" s="5"/>
    </row>
    <row r="342" spans="3:6" ht="15.75">
      <c r="C342" s="5"/>
      <c r="D342" s="133"/>
      <c r="E342" s="5"/>
      <c r="F342" s="5"/>
    </row>
    <row r="343" spans="3:6" ht="15.75">
      <c r="C343" s="5"/>
      <c r="D343" s="133"/>
      <c r="E343" s="5"/>
      <c r="F343" s="5"/>
    </row>
    <row r="344" spans="3:6" ht="15.75">
      <c r="C344" s="5"/>
      <c r="D344" s="133"/>
      <c r="E344" s="5"/>
      <c r="F344" s="5"/>
    </row>
    <row r="345" spans="3:6" ht="15.75">
      <c r="C345" s="5"/>
      <c r="D345" s="133"/>
      <c r="E345" s="5"/>
      <c r="F345" s="5"/>
    </row>
    <row r="346" spans="3:6" ht="15.75">
      <c r="C346" s="5"/>
      <c r="D346" s="133"/>
      <c r="E346" s="5"/>
      <c r="F346" s="5"/>
    </row>
    <row r="347" spans="3:6" ht="15.75">
      <c r="C347" s="5"/>
      <c r="D347" s="133"/>
      <c r="E347" s="5"/>
      <c r="F347" s="5"/>
    </row>
    <row r="348" spans="3:6" ht="15.75">
      <c r="C348" s="5"/>
      <c r="D348" s="133"/>
      <c r="E348" s="5"/>
      <c r="F348" s="5"/>
    </row>
    <row r="349" spans="3:6" ht="15.75">
      <c r="C349" s="5"/>
      <c r="D349" s="133"/>
      <c r="E349" s="5"/>
      <c r="F349" s="5"/>
    </row>
    <row r="350" spans="3:6" ht="15.75">
      <c r="C350" s="5"/>
      <c r="D350" s="133"/>
      <c r="E350" s="5"/>
      <c r="F350" s="5"/>
    </row>
    <row r="351" spans="3:6" ht="15.75">
      <c r="C351" s="5"/>
      <c r="D351" s="133"/>
      <c r="E351" s="5"/>
      <c r="F351" s="5"/>
    </row>
    <row r="352" spans="3:6" ht="15.75">
      <c r="C352" s="5"/>
      <c r="D352" s="133"/>
      <c r="E352" s="5"/>
      <c r="F352" s="5"/>
    </row>
    <row r="353" spans="3:6" ht="15.75">
      <c r="C353" s="5"/>
      <c r="D353" s="133"/>
      <c r="E353" s="5"/>
      <c r="F353" s="5"/>
    </row>
    <row r="354" spans="3:6" ht="15.75">
      <c r="C354" s="5"/>
      <c r="D354" s="133"/>
      <c r="E354" s="5"/>
      <c r="F354" s="5"/>
    </row>
    <row r="355" spans="3:6" ht="15.75">
      <c r="C355" s="5"/>
      <c r="D355" s="133"/>
      <c r="E355" s="5"/>
      <c r="F355" s="5"/>
    </row>
    <row r="356" spans="3:6" ht="15.75">
      <c r="C356" s="5"/>
      <c r="D356" s="133"/>
      <c r="E356" s="5"/>
      <c r="F356" s="5"/>
    </row>
    <row r="357" spans="3:6" ht="15.75">
      <c r="C357" s="5"/>
      <c r="D357" s="133"/>
      <c r="E357" s="5"/>
      <c r="F357" s="5"/>
    </row>
    <row r="358" spans="3:6" ht="15.75">
      <c r="C358" s="5"/>
      <c r="D358" s="133"/>
      <c r="E358" s="5"/>
      <c r="F358" s="5"/>
    </row>
    <row r="359" spans="3:6" ht="15.75">
      <c r="C359" s="5"/>
      <c r="D359" s="133"/>
      <c r="E359" s="5"/>
      <c r="F359" s="5"/>
    </row>
    <row r="360" spans="3:6" ht="15.75">
      <c r="C360" s="5"/>
      <c r="D360" s="133"/>
      <c r="E360" s="5"/>
      <c r="F360" s="5"/>
    </row>
    <row r="361" spans="3:6" ht="15.75">
      <c r="C361" s="5"/>
      <c r="D361" s="133"/>
      <c r="E361" s="5"/>
      <c r="F361" s="5"/>
    </row>
    <row r="362" spans="3:6" ht="15.75">
      <c r="C362" s="5"/>
      <c r="D362" s="133"/>
      <c r="E362" s="5"/>
      <c r="F362" s="5"/>
    </row>
    <row r="363" spans="3:6" ht="15.75">
      <c r="C363" s="5"/>
      <c r="D363" s="133"/>
      <c r="E363" s="5"/>
      <c r="F363" s="5"/>
    </row>
    <row r="364" spans="3:6" ht="15.75">
      <c r="C364" s="5"/>
      <c r="D364" s="133"/>
      <c r="E364" s="5"/>
      <c r="F364" s="5"/>
    </row>
    <row r="365" spans="3:6" ht="15.75">
      <c r="C365" s="5"/>
      <c r="D365" s="133"/>
      <c r="E365" s="5"/>
      <c r="F365" s="5"/>
    </row>
    <row r="366" spans="3:6" ht="15.75">
      <c r="C366" s="5"/>
      <c r="D366" s="133"/>
      <c r="E366" s="5"/>
      <c r="F366" s="5"/>
    </row>
    <row r="367" spans="3:6" ht="15.75">
      <c r="C367" s="5"/>
      <c r="D367" s="133"/>
      <c r="E367" s="5"/>
      <c r="F367" s="5"/>
    </row>
    <row r="368" spans="3:6" ht="15.75">
      <c r="C368" s="5"/>
      <c r="D368" s="133"/>
      <c r="E368" s="5"/>
      <c r="F368" s="5"/>
    </row>
    <row r="369" spans="3:6" ht="15.75">
      <c r="C369" s="5"/>
      <c r="D369" s="133"/>
      <c r="E369" s="5"/>
      <c r="F369" s="5"/>
    </row>
    <row r="370" spans="3:6" ht="15.75">
      <c r="C370" s="5"/>
      <c r="D370" s="133"/>
      <c r="E370" s="5"/>
      <c r="F370" s="5"/>
    </row>
    <row r="371" spans="3:6" ht="15.75">
      <c r="C371" s="5"/>
      <c r="D371" s="133"/>
      <c r="E371" s="5"/>
      <c r="F371" s="5"/>
    </row>
    <row r="372" spans="3:6" ht="15.75">
      <c r="C372" s="5"/>
      <c r="D372" s="133"/>
      <c r="E372" s="5"/>
      <c r="F372" s="5"/>
    </row>
    <row r="373" spans="3:6" ht="15.75">
      <c r="C373" s="5"/>
      <c r="D373" s="133"/>
      <c r="E373" s="5"/>
      <c r="F373" s="5"/>
    </row>
    <row r="374" spans="3:6" ht="15.75">
      <c r="C374" s="5"/>
      <c r="D374" s="133"/>
      <c r="E374" s="5"/>
      <c r="F374" s="5"/>
    </row>
    <row r="375" spans="3:6" ht="15.75">
      <c r="C375" s="5"/>
      <c r="D375" s="133"/>
      <c r="E375" s="5"/>
      <c r="F375" s="5"/>
    </row>
    <row r="376" spans="3:6" ht="15.75">
      <c r="C376" s="5"/>
      <c r="D376" s="133"/>
      <c r="E376" s="5"/>
      <c r="F376" s="5"/>
    </row>
    <row r="377" spans="3:6" ht="15.75">
      <c r="C377" s="5"/>
      <c r="D377" s="133"/>
      <c r="E377" s="5"/>
      <c r="F377" s="5"/>
    </row>
    <row r="378" spans="3:6" ht="15.75">
      <c r="C378" s="5"/>
      <c r="D378" s="133"/>
      <c r="E378" s="5"/>
      <c r="F378" s="5"/>
    </row>
    <row r="379" spans="3:6" ht="15.75">
      <c r="C379" s="5"/>
      <c r="D379" s="133"/>
      <c r="E379" s="5"/>
      <c r="F379" s="5"/>
    </row>
    <row r="380" spans="3:6" ht="15.75">
      <c r="C380" s="5"/>
      <c r="D380" s="133"/>
      <c r="E380" s="5"/>
      <c r="F380" s="5"/>
    </row>
    <row r="381" spans="3:6" ht="15.75">
      <c r="C381" s="5"/>
      <c r="D381" s="133"/>
      <c r="E381" s="5"/>
      <c r="F381" s="5"/>
    </row>
    <row r="382" spans="3:6" ht="15.75">
      <c r="C382" s="5"/>
      <c r="D382" s="133"/>
      <c r="E382" s="5"/>
      <c r="F382" s="5"/>
    </row>
    <row r="383" spans="3:6" ht="15.75">
      <c r="C383" s="5"/>
      <c r="D383" s="133"/>
      <c r="E383" s="5"/>
      <c r="F383" s="5"/>
    </row>
    <row r="384" spans="3:6" ht="15.75">
      <c r="C384" s="5"/>
      <c r="D384" s="133"/>
      <c r="E384" s="5"/>
      <c r="F384" s="5"/>
    </row>
    <row r="385" spans="3:6" ht="15.75">
      <c r="C385" s="5"/>
      <c r="D385" s="133"/>
      <c r="E385" s="5"/>
      <c r="F385" s="5"/>
    </row>
    <row r="386" spans="3:6" ht="15.75">
      <c r="C386" s="5"/>
      <c r="D386" s="133"/>
      <c r="E386" s="5"/>
      <c r="F386" s="5"/>
    </row>
    <row r="387" spans="3:6" ht="15.75">
      <c r="C387" s="5"/>
      <c r="D387" s="133"/>
      <c r="E387" s="5"/>
      <c r="F387" s="5"/>
    </row>
    <row r="388" spans="3:6" ht="15.75">
      <c r="C388" s="5"/>
      <c r="D388" s="133"/>
      <c r="E388" s="5"/>
      <c r="F388" s="5"/>
    </row>
    <row r="389" spans="3:6" ht="15.75">
      <c r="C389" s="5"/>
      <c r="D389" s="133"/>
      <c r="E389" s="5"/>
      <c r="F389" s="5"/>
    </row>
    <row r="390" spans="3:6" ht="15.75">
      <c r="C390" s="5"/>
      <c r="D390" s="133"/>
      <c r="E390" s="5"/>
      <c r="F390" s="5"/>
    </row>
    <row r="391" spans="3:6" ht="15.75">
      <c r="C391" s="5"/>
      <c r="D391" s="133"/>
      <c r="E391" s="5"/>
      <c r="F391" s="5"/>
    </row>
    <row r="392" spans="3:6" ht="15.75">
      <c r="C392" s="5"/>
      <c r="D392" s="133"/>
      <c r="E392" s="5"/>
      <c r="F392" s="5"/>
    </row>
    <row r="393" spans="3:6" ht="15.75">
      <c r="C393" s="5"/>
      <c r="D393" s="133"/>
      <c r="E393" s="5"/>
      <c r="F393" s="5"/>
    </row>
    <row r="394" spans="3:6" ht="15.75">
      <c r="C394" s="5"/>
      <c r="D394" s="133"/>
      <c r="E394" s="5"/>
      <c r="F394" s="5"/>
    </row>
    <row r="395" spans="3:6" ht="15.75">
      <c r="C395" s="5"/>
      <c r="D395" s="133"/>
      <c r="E395" s="5"/>
      <c r="F395" s="5"/>
    </row>
    <row r="396" spans="3:6" ht="15.75">
      <c r="C396" s="5"/>
      <c r="D396" s="133"/>
      <c r="E396" s="5"/>
      <c r="F396" s="5"/>
    </row>
    <row r="397" spans="3:6" ht="15.75">
      <c r="C397" s="5"/>
      <c r="D397" s="133"/>
      <c r="E397" s="5"/>
      <c r="F397" s="5"/>
    </row>
    <row r="398" spans="3:6" ht="15.75">
      <c r="C398" s="5"/>
      <c r="D398" s="133"/>
      <c r="E398" s="5"/>
      <c r="F398" s="5"/>
    </row>
    <row r="399" spans="3:6" ht="15.75">
      <c r="C399" s="5"/>
      <c r="D399" s="133"/>
      <c r="E399" s="5"/>
      <c r="F399" s="5"/>
    </row>
    <row r="400" spans="3:6" ht="15.75">
      <c r="C400" s="5"/>
      <c r="D400" s="133"/>
      <c r="E400" s="5"/>
      <c r="F400" s="5"/>
    </row>
    <row r="401" spans="3:6" ht="15.75">
      <c r="C401" s="5"/>
      <c r="D401" s="133"/>
      <c r="E401" s="5"/>
      <c r="F401" s="5"/>
    </row>
    <row r="402" spans="3:6" ht="15.75">
      <c r="C402" s="5"/>
      <c r="D402" s="133"/>
      <c r="E402" s="5"/>
      <c r="F402" s="5"/>
    </row>
    <row r="403" spans="3:6" ht="15.75">
      <c r="C403" s="5"/>
      <c r="D403" s="133"/>
      <c r="E403" s="5"/>
      <c r="F403" s="5"/>
    </row>
    <row r="404" spans="3:6" ht="15.75">
      <c r="C404" s="5"/>
      <c r="D404" s="133"/>
      <c r="E404" s="5"/>
      <c r="F404" s="5"/>
    </row>
    <row r="405" spans="3:6" ht="15.75">
      <c r="C405" s="5"/>
      <c r="D405" s="133"/>
      <c r="E405" s="5"/>
      <c r="F405" s="5"/>
    </row>
    <row r="406" spans="3:6" ht="15.75">
      <c r="C406" s="5"/>
      <c r="D406" s="133"/>
      <c r="E406" s="5"/>
      <c r="F406" s="5"/>
    </row>
    <row r="407" spans="3:6" ht="15.75">
      <c r="C407" s="5"/>
      <c r="D407" s="133"/>
      <c r="E407" s="5"/>
      <c r="F407" s="5"/>
    </row>
    <row r="408" spans="3:6" ht="15.75">
      <c r="C408" s="5"/>
      <c r="D408" s="133"/>
      <c r="E408" s="5"/>
      <c r="F408" s="5"/>
    </row>
    <row r="409" spans="3:6" ht="15.75">
      <c r="C409" s="5"/>
      <c r="D409" s="133"/>
      <c r="E409" s="5"/>
      <c r="F409" s="5"/>
    </row>
    <row r="410" spans="3:6" ht="15.75">
      <c r="C410" s="5"/>
      <c r="D410" s="133"/>
      <c r="E410" s="5"/>
      <c r="F410" s="5"/>
    </row>
    <row r="411" spans="3:6" ht="15.75">
      <c r="C411" s="5"/>
      <c r="D411" s="133"/>
      <c r="E411" s="5"/>
      <c r="F411" s="5"/>
    </row>
    <row r="412" spans="3:6" ht="15.75">
      <c r="C412" s="5"/>
      <c r="D412" s="133"/>
      <c r="E412" s="5"/>
      <c r="F412" s="5"/>
    </row>
    <row r="413" spans="3:6" ht="15.75">
      <c r="C413" s="5"/>
      <c r="D413" s="133"/>
      <c r="E413" s="5"/>
      <c r="F413" s="5"/>
    </row>
    <row r="414" spans="3:6" ht="15.75">
      <c r="C414" s="5"/>
      <c r="D414" s="133"/>
      <c r="E414" s="5"/>
      <c r="F414" s="5"/>
    </row>
    <row r="415" spans="3:6" ht="15.75">
      <c r="C415" s="5"/>
      <c r="D415" s="133"/>
      <c r="E415" s="5"/>
      <c r="F415" s="5"/>
    </row>
    <row r="416" spans="3:6" ht="15.75">
      <c r="C416" s="5"/>
      <c r="D416" s="133"/>
      <c r="E416" s="5"/>
      <c r="F416" s="5"/>
    </row>
    <row r="417" spans="3:6" ht="15.75">
      <c r="C417" s="5"/>
      <c r="D417" s="133"/>
      <c r="E417" s="5"/>
      <c r="F417" s="5"/>
    </row>
    <row r="418" spans="3:6" ht="15.75">
      <c r="C418" s="5"/>
      <c r="D418" s="133"/>
      <c r="E418" s="5"/>
      <c r="F418" s="5"/>
    </row>
  </sheetData>
  <printOptions/>
  <pageMargins left="0.51" right="0.77" top="0.71" bottom="0.79" header="0.31" footer="0.5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G71"/>
  <sheetViews>
    <sheetView showGridLines="0" zoomScale="75" zoomScaleNormal="75" workbookViewId="0" topLeftCell="A34">
      <selection activeCell="A4" sqref="A4"/>
    </sheetView>
  </sheetViews>
  <sheetFormatPr defaultColWidth="9.140625" defaultRowHeight="12.75"/>
  <cols>
    <col min="1" max="1" width="70.00390625" style="17" customWidth="1"/>
    <col min="2" max="2" width="15.57421875" style="17" customWidth="1"/>
    <col min="3" max="3" width="2.28125" style="17" customWidth="1"/>
    <col min="4" max="4" width="15.57421875" style="17" customWidth="1"/>
    <col min="5" max="5" width="2.140625" style="17" customWidth="1"/>
    <col min="6" max="6" width="11.140625" style="17" bestFit="1" customWidth="1"/>
    <col min="7" max="7" width="66.8515625" style="17" bestFit="1" customWidth="1"/>
    <col min="8" max="8" width="11.140625" style="17" bestFit="1" customWidth="1"/>
    <col min="9" max="9" width="9.140625" style="17" customWidth="1"/>
    <col min="10" max="10" width="11.140625" style="17" bestFit="1" customWidth="1"/>
    <col min="11" max="16384" width="9.140625" style="17" customWidth="1"/>
  </cols>
  <sheetData>
    <row r="1" spans="1:7" ht="15.75">
      <c r="A1" s="88" t="s">
        <v>31</v>
      </c>
      <c r="C1" s="88"/>
      <c r="G1" s="88"/>
    </row>
    <row r="2" spans="1:7" ht="15.75">
      <c r="A2" s="88" t="s">
        <v>67</v>
      </c>
      <c r="C2" s="88"/>
      <c r="G2" s="88"/>
    </row>
    <row r="3" spans="1:7" ht="15.75">
      <c r="A3" s="158" t="s">
        <v>168</v>
      </c>
      <c r="C3" s="158"/>
      <c r="G3" s="158"/>
    </row>
    <row r="5" spans="2:5" ht="15.75">
      <c r="B5" s="166">
        <v>38898</v>
      </c>
      <c r="D5" s="166">
        <v>38533</v>
      </c>
      <c r="E5" s="29"/>
    </row>
    <row r="6" spans="2:5" ht="15.75">
      <c r="B6" s="167" t="s">
        <v>0</v>
      </c>
      <c r="D6" s="167" t="s">
        <v>0</v>
      </c>
      <c r="E6" s="29"/>
    </row>
    <row r="7" ht="15.75">
      <c r="E7" s="29"/>
    </row>
    <row r="8" spans="1:5" ht="15.75">
      <c r="A8" s="17" t="s">
        <v>57</v>
      </c>
      <c r="E8" s="29"/>
    </row>
    <row r="9" spans="1:5" ht="15.75">
      <c r="A9" s="17" t="s">
        <v>25</v>
      </c>
      <c r="B9" s="148">
        <f>2415+39</f>
        <v>2454</v>
      </c>
      <c r="D9" s="148">
        <v>16816</v>
      </c>
      <c r="E9" s="149"/>
    </row>
    <row r="10" spans="1:5" ht="15.75">
      <c r="A10" s="17" t="s">
        <v>58</v>
      </c>
      <c r="B10" s="148"/>
      <c r="D10" s="148"/>
      <c r="E10" s="149"/>
    </row>
    <row r="11" spans="1:5" ht="15.75">
      <c r="A11" s="17" t="s">
        <v>20</v>
      </c>
      <c r="B11" s="16">
        <f>866+1861-39</f>
        <v>2688</v>
      </c>
      <c r="D11" s="16">
        <v>2280</v>
      </c>
      <c r="E11" s="149"/>
    </row>
    <row r="12" spans="1:5" ht="15.75">
      <c r="A12" s="17" t="s">
        <v>152</v>
      </c>
      <c r="B12" s="16">
        <v>0</v>
      </c>
      <c r="D12" s="16">
        <v>18</v>
      </c>
      <c r="E12" s="149"/>
    </row>
    <row r="13" spans="1:5" ht="15.75">
      <c r="A13" s="17" t="s">
        <v>153</v>
      </c>
      <c r="B13" s="16">
        <v>-7</v>
      </c>
      <c r="D13" s="16">
        <v>-4</v>
      </c>
      <c r="E13" s="149"/>
    </row>
    <row r="14" spans="1:5" ht="15.75">
      <c r="A14" s="17" t="s">
        <v>81</v>
      </c>
      <c r="B14" s="16">
        <v>33</v>
      </c>
      <c r="D14" s="16">
        <v>97</v>
      </c>
      <c r="E14" s="149"/>
    </row>
    <row r="15" spans="1:5" ht="15.75">
      <c r="A15" s="17" t="s">
        <v>154</v>
      </c>
      <c r="B15" s="16">
        <v>728</v>
      </c>
      <c r="D15" s="16">
        <f>21+37</f>
        <v>58</v>
      </c>
      <c r="E15" s="149"/>
    </row>
    <row r="16" spans="1:5" ht="15.75">
      <c r="A16" s="17" t="s">
        <v>155</v>
      </c>
      <c r="B16" s="16">
        <v>-21</v>
      </c>
      <c r="D16" s="16">
        <v>49</v>
      </c>
      <c r="E16" s="149"/>
    </row>
    <row r="17" spans="1:5" ht="15.75">
      <c r="A17" s="17" t="s">
        <v>91</v>
      </c>
      <c r="B17" s="21">
        <v>58</v>
      </c>
      <c r="D17" s="21">
        <v>20</v>
      </c>
      <c r="E17" s="150"/>
    </row>
    <row r="18" spans="1:5" ht="15.75">
      <c r="A18" s="17" t="s">
        <v>13</v>
      </c>
      <c r="B18" s="18">
        <f>SUM(B9:B17)</f>
        <v>5933</v>
      </c>
      <c r="D18" s="18">
        <f>SUM(D9:D17)</f>
        <v>19334</v>
      </c>
      <c r="E18" s="149"/>
    </row>
    <row r="19" spans="2:5" ht="15.75">
      <c r="B19" s="16"/>
      <c r="D19" s="16"/>
      <c r="E19" s="149"/>
    </row>
    <row r="20" spans="1:5" ht="15.75">
      <c r="A20" s="17" t="s">
        <v>60</v>
      </c>
      <c r="B20" s="16"/>
      <c r="D20" s="16"/>
      <c r="E20" s="149"/>
    </row>
    <row r="21" spans="1:5" ht="15.75">
      <c r="A21" s="17" t="s">
        <v>83</v>
      </c>
      <c r="B21" s="16">
        <v>5903</v>
      </c>
      <c r="D21" s="16">
        <v>-794</v>
      </c>
      <c r="E21" s="149"/>
    </row>
    <row r="22" spans="1:5" ht="15.75">
      <c r="A22" s="17" t="s">
        <v>82</v>
      </c>
      <c r="B22" s="21">
        <v>-713</v>
      </c>
      <c r="D22" s="21">
        <v>-553</v>
      </c>
      <c r="E22" s="149"/>
    </row>
    <row r="23" spans="1:5" ht="15.75">
      <c r="A23" s="17" t="s">
        <v>61</v>
      </c>
      <c r="B23" s="148">
        <f>SUM(B18:B22)</f>
        <v>11123</v>
      </c>
      <c r="D23" s="148">
        <f>SUM(D18:D22)</f>
        <v>17987</v>
      </c>
      <c r="E23" s="149"/>
    </row>
    <row r="24" spans="1:5" ht="15.75">
      <c r="A24" s="17" t="s">
        <v>62</v>
      </c>
      <c r="B24" s="16">
        <v>-846</v>
      </c>
      <c r="D24" s="16">
        <v>-38</v>
      </c>
      <c r="E24" s="149"/>
    </row>
    <row r="25" spans="1:5" ht="15.75">
      <c r="A25" s="17" t="s">
        <v>59</v>
      </c>
      <c r="B25" s="27">
        <f>SUM(B23:B24)</f>
        <v>10277</v>
      </c>
      <c r="D25" s="27">
        <f>SUM(D23:D24)</f>
        <v>17949</v>
      </c>
      <c r="E25" s="149"/>
    </row>
    <row r="26" spans="2:5" ht="15.75">
      <c r="B26" s="16"/>
      <c r="D26" s="16"/>
      <c r="E26" s="149"/>
    </row>
    <row r="27" spans="2:5" ht="15.75">
      <c r="B27" s="16"/>
      <c r="D27" s="16"/>
      <c r="E27" s="149"/>
    </row>
    <row r="28" spans="1:5" ht="15.75">
      <c r="A28" s="17" t="s">
        <v>36</v>
      </c>
      <c r="B28" s="16"/>
      <c r="D28" s="16"/>
      <c r="E28" s="149"/>
    </row>
    <row r="29" spans="1:5" ht="15.75">
      <c r="A29" s="17" t="s">
        <v>141</v>
      </c>
      <c r="B29" s="16">
        <v>0</v>
      </c>
      <c r="D29" s="16">
        <v>-10268</v>
      </c>
      <c r="E29" s="149"/>
    </row>
    <row r="30" spans="1:5" ht="15.75">
      <c r="A30" s="17" t="s">
        <v>156</v>
      </c>
      <c r="B30" s="16">
        <v>0</v>
      </c>
      <c r="D30" s="16">
        <v>0</v>
      </c>
      <c r="E30" s="149"/>
    </row>
    <row r="31" spans="1:5" ht="15.75">
      <c r="A31" s="17" t="s">
        <v>28</v>
      </c>
      <c r="B31" s="16">
        <v>-2968</v>
      </c>
      <c r="D31" s="16">
        <v>-1342</v>
      </c>
      <c r="E31" s="149"/>
    </row>
    <row r="32" spans="1:5" ht="15.75">
      <c r="A32" s="17" t="s">
        <v>14</v>
      </c>
      <c r="B32" s="16">
        <v>-1173</v>
      </c>
      <c r="D32" s="16">
        <v>-980</v>
      </c>
      <c r="E32" s="149"/>
    </row>
    <row r="33" spans="1:5" ht="15.75">
      <c r="A33" s="17" t="s">
        <v>157</v>
      </c>
      <c r="B33" s="16">
        <v>59</v>
      </c>
      <c r="D33" s="16">
        <v>22</v>
      </c>
      <c r="E33" s="149"/>
    </row>
    <row r="34" spans="1:5" ht="15.75">
      <c r="A34" s="17" t="s">
        <v>15</v>
      </c>
      <c r="B34" s="27">
        <f>SUM(B29:B33)</f>
        <v>-4082</v>
      </c>
      <c r="D34" s="27">
        <f>SUM(D29:D33)</f>
        <v>-12568</v>
      </c>
      <c r="E34" s="149"/>
    </row>
    <row r="35" spans="2:5" ht="15.75">
      <c r="B35" s="16"/>
      <c r="D35" s="16"/>
      <c r="E35" s="149"/>
    </row>
    <row r="36" spans="1:5" ht="15.75">
      <c r="A36" s="17" t="s">
        <v>37</v>
      </c>
      <c r="B36" s="16"/>
      <c r="D36" s="16"/>
      <c r="E36" s="149"/>
    </row>
    <row r="37" spans="1:5" ht="15.75">
      <c r="A37" s="17" t="s">
        <v>75</v>
      </c>
      <c r="B37" s="16">
        <v>214</v>
      </c>
      <c r="D37" s="16">
        <v>378</v>
      </c>
      <c r="E37" s="149"/>
    </row>
    <row r="38" spans="1:5" ht="15.75">
      <c r="A38" s="17" t="s">
        <v>158</v>
      </c>
      <c r="B38" s="16">
        <v>0</v>
      </c>
      <c r="D38" s="16">
        <v>0</v>
      </c>
      <c r="E38" s="149"/>
    </row>
    <row r="39" spans="1:5" ht="15.75">
      <c r="A39" s="17" t="s">
        <v>148</v>
      </c>
      <c r="B39" s="16">
        <v>-2444</v>
      </c>
      <c r="D39" s="16">
        <v>-4868</v>
      </c>
      <c r="E39" s="149"/>
    </row>
    <row r="40" spans="1:5" ht="15.75">
      <c r="A40" s="168" t="s">
        <v>78</v>
      </c>
      <c r="B40" s="16">
        <v>343</v>
      </c>
      <c r="C40" s="168"/>
      <c r="D40" s="16">
        <v>706</v>
      </c>
      <c r="E40" s="149"/>
    </row>
    <row r="41" spans="1:5" ht="15.75">
      <c r="A41" s="168" t="s">
        <v>149</v>
      </c>
      <c r="B41" s="16">
        <v>-23</v>
      </c>
      <c r="C41" s="168"/>
      <c r="D41" s="16">
        <v>-19</v>
      </c>
      <c r="E41" s="149"/>
    </row>
    <row r="42" spans="1:5" ht="15.75">
      <c r="A42" s="17" t="s">
        <v>16</v>
      </c>
      <c r="B42" s="27">
        <f>SUM(B37:B41)</f>
        <v>-1910</v>
      </c>
      <c r="D42" s="27">
        <f>SUM(D37:D41)</f>
        <v>-3803</v>
      </c>
      <c r="E42" s="149"/>
    </row>
    <row r="43" spans="2:5" ht="15.75">
      <c r="B43" s="16"/>
      <c r="D43" s="16"/>
      <c r="E43" s="149"/>
    </row>
    <row r="44" spans="1:5" ht="15.75">
      <c r="A44" s="17" t="s">
        <v>1</v>
      </c>
      <c r="B44" s="16"/>
      <c r="D44" s="16"/>
      <c r="E44" s="149"/>
    </row>
    <row r="45" spans="1:5" ht="15.75">
      <c r="A45" s="17" t="s">
        <v>21</v>
      </c>
      <c r="B45" s="16">
        <f>+B25+B34+B42</f>
        <v>4285</v>
      </c>
      <c r="D45" s="16">
        <f>+D25+D34+D42</f>
        <v>1578</v>
      </c>
      <c r="E45" s="149"/>
    </row>
    <row r="46" spans="1:5" ht="15.75">
      <c r="A46" s="17" t="s">
        <v>77</v>
      </c>
      <c r="B46" s="16">
        <v>-9</v>
      </c>
      <c r="D46" s="16">
        <v>-69</v>
      </c>
      <c r="E46" s="149"/>
    </row>
    <row r="47" spans="1:5" ht="15.75">
      <c r="A47" s="17" t="s">
        <v>17</v>
      </c>
      <c r="B47" s="16">
        <f>D48</f>
        <v>12194</v>
      </c>
      <c r="D47" s="16">
        <v>10685</v>
      </c>
      <c r="E47" s="149"/>
    </row>
    <row r="48" spans="1:5" ht="15.75">
      <c r="A48" s="17" t="s">
        <v>29</v>
      </c>
      <c r="B48" s="27">
        <f>SUM(B44:B47)</f>
        <v>16470</v>
      </c>
      <c r="D48" s="27">
        <f>SUM(D44:D47)</f>
        <v>12194</v>
      </c>
      <c r="E48" s="149"/>
    </row>
    <row r="50" spans="1:5" ht="15.75">
      <c r="A50" s="88" t="s">
        <v>86</v>
      </c>
      <c r="B50" s="169"/>
      <c r="C50" s="88"/>
      <c r="D50" s="169"/>
      <c r="E50" s="169"/>
    </row>
    <row r="51" spans="1:5" ht="15.75">
      <c r="A51" s="88" t="s">
        <v>94</v>
      </c>
      <c r="B51" s="169"/>
      <c r="C51" s="88"/>
      <c r="D51" s="169"/>
      <c r="E51" s="169"/>
    </row>
    <row r="52" spans="1:5" ht="15.75">
      <c r="A52" s="168"/>
      <c r="B52" s="168"/>
      <c r="C52" s="168"/>
      <c r="D52" s="168"/>
      <c r="E52" s="168"/>
    </row>
    <row r="53" spans="1:5" ht="15.75">
      <c r="A53" s="168"/>
      <c r="B53" s="168"/>
      <c r="C53" s="168"/>
      <c r="D53" s="168"/>
      <c r="E53" s="168"/>
    </row>
    <row r="54" spans="1:5" ht="15.75">
      <c r="A54" s="168"/>
      <c r="B54" s="168"/>
      <c r="C54" s="168"/>
      <c r="D54" s="168"/>
      <c r="E54" s="168"/>
    </row>
    <row r="55" spans="1:5" ht="15.75">
      <c r="A55" s="168"/>
      <c r="B55" s="168"/>
      <c r="C55" s="168"/>
      <c r="D55" s="168"/>
      <c r="E55" s="168"/>
    </row>
    <row r="56" spans="1:5" ht="15.75">
      <c r="A56" s="168"/>
      <c r="B56" s="168"/>
      <c r="C56" s="168"/>
      <c r="D56" s="168"/>
      <c r="E56" s="168"/>
    </row>
    <row r="57" spans="1:5" ht="15.75">
      <c r="A57" s="168"/>
      <c r="B57" s="168"/>
      <c r="C57" s="168"/>
      <c r="D57" s="168"/>
      <c r="E57" s="168"/>
    </row>
    <row r="58" spans="2:5" ht="15.75">
      <c r="B58" s="168"/>
      <c r="D58" s="168"/>
      <c r="E58" s="168"/>
    </row>
    <row r="59" spans="2:5" ht="15.75">
      <c r="B59" s="168"/>
      <c r="D59" s="168"/>
      <c r="E59" s="168"/>
    </row>
    <row r="60" spans="2:5" ht="15.75">
      <c r="B60" s="168"/>
      <c r="D60" s="168"/>
      <c r="E60" s="168"/>
    </row>
    <row r="61" spans="2:5" ht="15.75">
      <c r="B61" s="168"/>
      <c r="D61" s="168"/>
      <c r="E61" s="168"/>
    </row>
    <row r="62" spans="2:5" ht="15.75">
      <c r="B62" s="168"/>
      <c r="D62" s="168"/>
      <c r="E62" s="168"/>
    </row>
    <row r="63" spans="2:5" ht="15.75">
      <c r="B63" s="168"/>
      <c r="D63" s="168"/>
      <c r="E63" s="168"/>
    </row>
    <row r="64" spans="2:5" ht="15.75">
      <c r="B64" s="168"/>
      <c r="D64" s="168"/>
      <c r="E64" s="168"/>
    </row>
    <row r="65" spans="2:5" ht="15.75">
      <c r="B65" s="168"/>
      <c r="D65" s="168"/>
      <c r="E65" s="168"/>
    </row>
    <row r="66" spans="2:5" ht="15.75">
      <c r="B66" s="168"/>
      <c r="D66" s="168"/>
      <c r="E66" s="168"/>
    </row>
    <row r="67" spans="2:5" ht="15.75">
      <c r="B67" s="168"/>
      <c r="D67" s="168"/>
      <c r="E67" s="168"/>
    </row>
    <row r="68" spans="2:5" ht="15.75">
      <c r="B68" s="168"/>
      <c r="D68" s="168"/>
      <c r="E68" s="168"/>
    </row>
    <row r="69" spans="2:5" ht="15.75">
      <c r="B69" s="168"/>
      <c r="D69" s="168"/>
      <c r="E69" s="168"/>
    </row>
    <row r="70" spans="2:5" ht="15.75">
      <c r="B70" s="168"/>
      <c r="D70" s="168"/>
      <c r="E70" s="168"/>
    </row>
    <row r="71" spans="2:5" ht="15.75">
      <c r="B71" s="168"/>
      <c r="D71" s="168"/>
      <c r="E71" s="168"/>
    </row>
  </sheetData>
  <printOptions/>
  <pageMargins left="0.52" right="0.29" top="0.6" bottom="0.49" header="0.35" footer="0.3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43"/>
  <sheetViews>
    <sheetView showGridLines="0"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65.57421875" style="3" customWidth="1"/>
    <col min="2" max="3" width="10.421875" style="3" customWidth="1"/>
    <col min="4" max="5" width="13.421875" style="3" bestFit="1" customWidth="1"/>
    <col min="6" max="6" width="10.421875" style="3" customWidth="1"/>
    <col min="7" max="16384" width="9.140625" style="3" customWidth="1"/>
  </cols>
  <sheetData>
    <row r="1" ht="15.75">
      <c r="A1" s="6" t="s">
        <v>31</v>
      </c>
    </row>
    <row r="2" spans="1:4" ht="15.75">
      <c r="A2" s="6" t="s">
        <v>68</v>
      </c>
      <c r="B2" s="6"/>
      <c r="C2" s="6"/>
      <c r="D2" s="6"/>
    </row>
    <row r="3" spans="1:4" ht="15.75">
      <c r="A3" s="13" t="str">
        <f>'CASH FLOW'!A3</f>
        <v>For the twelve (12) months ended 30 June 2006 </v>
      </c>
      <c r="B3" s="6"/>
      <c r="C3" s="6"/>
      <c r="D3" s="6"/>
    </row>
    <row r="4" ht="15.75">
      <c r="E4" s="9"/>
    </row>
    <row r="5" spans="2:6" ht="15.75">
      <c r="B5" s="6"/>
      <c r="C5" s="6"/>
      <c r="D5" s="8" t="s">
        <v>69</v>
      </c>
      <c r="E5" s="9"/>
      <c r="F5" s="6"/>
    </row>
    <row r="6" spans="2:6" ht="15.75">
      <c r="B6" s="8" t="s">
        <v>8</v>
      </c>
      <c r="C6" s="8" t="s">
        <v>8</v>
      </c>
      <c r="D6" s="8" t="s">
        <v>70</v>
      </c>
      <c r="E6" s="8" t="s">
        <v>10</v>
      </c>
      <c r="F6" s="8"/>
    </row>
    <row r="7" spans="2:6" ht="16.5" thickBot="1">
      <c r="B7" s="7" t="s">
        <v>9</v>
      </c>
      <c r="C7" s="7" t="s">
        <v>32</v>
      </c>
      <c r="D7" s="7" t="s">
        <v>71</v>
      </c>
      <c r="E7" s="7" t="s">
        <v>47</v>
      </c>
      <c r="F7" s="7" t="s">
        <v>11</v>
      </c>
    </row>
    <row r="8" spans="2:6" ht="15.75">
      <c r="B8" s="8" t="s">
        <v>0</v>
      </c>
      <c r="C8" s="8" t="s">
        <v>0</v>
      </c>
      <c r="D8" s="8" t="s">
        <v>0</v>
      </c>
      <c r="E8" s="8" t="s">
        <v>0</v>
      </c>
      <c r="F8" s="8" t="s">
        <v>0</v>
      </c>
    </row>
    <row r="10" ht="15.75">
      <c r="A10" s="6" t="s">
        <v>161</v>
      </c>
    </row>
    <row r="12" spans="1:6" ht="15.75">
      <c r="A12" s="3" t="s">
        <v>80</v>
      </c>
      <c r="B12" s="5">
        <v>16148</v>
      </c>
      <c r="C12" s="5">
        <v>18038</v>
      </c>
      <c r="D12" s="5">
        <v>-33</v>
      </c>
      <c r="E12" s="5">
        <v>14771</v>
      </c>
      <c r="F12" s="5">
        <f>SUM(B12:E12)</f>
        <v>48924</v>
      </c>
    </row>
    <row r="13" spans="1:7" ht="15.75">
      <c r="A13" s="14"/>
      <c r="B13" s="5"/>
      <c r="C13" s="5"/>
      <c r="D13" s="5"/>
      <c r="E13" s="5"/>
      <c r="F13" s="5"/>
      <c r="G13" s="14"/>
    </row>
    <row r="14" spans="1:6" ht="15.75">
      <c r="A14" s="3" t="s">
        <v>46</v>
      </c>
      <c r="B14" s="5">
        <v>130</v>
      </c>
      <c r="C14" s="5">
        <v>248</v>
      </c>
      <c r="D14" s="5">
        <v>0</v>
      </c>
      <c r="E14" s="5">
        <v>0</v>
      </c>
      <c r="F14" s="5">
        <f>SUM(B14:E14)</f>
        <v>378</v>
      </c>
    </row>
    <row r="15" spans="1:6" ht="15.75">
      <c r="A15" s="3" t="s">
        <v>79</v>
      </c>
      <c r="B15" s="5">
        <v>0</v>
      </c>
      <c r="C15" s="5">
        <v>0</v>
      </c>
      <c r="D15" s="5">
        <v>-54</v>
      </c>
      <c r="E15" s="5">
        <v>0</v>
      </c>
      <c r="F15" s="5">
        <f>SUM(B15:E15)</f>
        <v>-54</v>
      </c>
    </row>
    <row r="16" spans="1:6" ht="15.75">
      <c r="A16" s="3" t="s">
        <v>142</v>
      </c>
      <c r="B16" s="5">
        <v>0</v>
      </c>
      <c r="C16" s="5">
        <v>-16074</v>
      </c>
      <c r="D16" s="5">
        <v>0</v>
      </c>
      <c r="E16" s="5">
        <v>0</v>
      </c>
      <c r="F16" s="5">
        <f>SUM(B16:E16)</f>
        <v>-16074</v>
      </c>
    </row>
    <row r="17" spans="1:6" ht="15.75">
      <c r="A17" s="3" t="s">
        <v>165</v>
      </c>
      <c r="B17" s="5">
        <v>0</v>
      </c>
      <c r="C17" s="5">
        <v>0</v>
      </c>
      <c r="D17" s="5">
        <v>0</v>
      </c>
      <c r="E17" s="5">
        <v>16582</v>
      </c>
      <c r="F17" s="5">
        <f>SUM(B17:E17)</f>
        <v>16582</v>
      </c>
    </row>
    <row r="18" spans="1:6" ht="15.75">
      <c r="A18" s="3" t="s">
        <v>146</v>
      </c>
      <c r="B18" s="5">
        <v>0</v>
      </c>
      <c r="C18" s="5">
        <v>0</v>
      </c>
      <c r="D18" s="5">
        <v>0</v>
      </c>
      <c r="E18" s="5">
        <v>-4868</v>
      </c>
      <c r="F18" s="5">
        <f>SUM(B18:E18)</f>
        <v>-4868</v>
      </c>
    </row>
    <row r="19" spans="2:6" ht="15.75">
      <c r="B19" s="16" t="s">
        <v>1</v>
      </c>
      <c r="C19" s="16"/>
      <c r="D19" s="16"/>
      <c r="E19" s="16"/>
      <c r="F19" s="16"/>
    </row>
    <row r="20" spans="1:6" ht="15.75">
      <c r="A20" s="3" t="s">
        <v>160</v>
      </c>
      <c r="B20" s="27">
        <f>SUM(B12:B19)</f>
        <v>16278</v>
      </c>
      <c r="C20" s="27">
        <f>SUM(C12:C19)</f>
        <v>2212</v>
      </c>
      <c r="D20" s="27">
        <f>SUM(D12:D19)</f>
        <v>-87</v>
      </c>
      <c r="E20" s="27">
        <f>SUM(E12:E19)</f>
        <v>26485</v>
      </c>
      <c r="F20" s="27">
        <f>SUM(F12:F19)</f>
        <v>44888</v>
      </c>
    </row>
    <row r="21" spans="1:6" ht="15.75">
      <c r="A21" s="3" t="s">
        <v>1</v>
      </c>
      <c r="B21" s="18"/>
      <c r="C21" s="18"/>
      <c r="D21" s="18"/>
      <c r="E21" s="18"/>
      <c r="F21" s="18"/>
    </row>
    <row r="22" spans="2:6" ht="15.75">
      <c r="B22" s="17"/>
      <c r="C22" s="17"/>
      <c r="D22" s="17"/>
      <c r="E22" s="17"/>
      <c r="F22" s="17"/>
    </row>
    <row r="23" spans="2:6" ht="15.75">
      <c r="B23" s="17"/>
      <c r="C23" s="17"/>
      <c r="D23" s="17"/>
      <c r="E23" s="17"/>
      <c r="F23" s="17"/>
    </row>
    <row r="24" spans="2:6" ht="15.75">
      <c r="B24" s="17"/>
      <c r="C24" s="17"/>
      <c r="D24" s="17"/>
      <c r="E24" s="17"/>
      <c r="F24" s="17"/>
    </row>
    <row r="25" spans="2:6" ht="15.75">
      <c r="B25" s="17"/>
      <c r="C25" s="17"/>
      <c r="D25" s="17"/>
      <c r="E25" s="17"/>
      <c r="F25" s="17"/>
    </row>
    <row r="26" spans="1:6" ht="15.75">
      <c r="A26" s="15"/>
      <c r="B26" s="17"/>
      <c r="C26" s="17"/>
      <c r="D26" s="17"/>
      <c r="E26" s="17"/>
      <c r="F26" s="17"/>
    </row>
    <row r="27" spans="1:6" ht="15.75">
      <c r="A27" s="6" t="s">
        <v>162</v>
      </c>
      <c r="B27" s="29"/>
      <c r="C27" s="29"/>
      <c r="D27" s="29"/>
      <c r="E27" s="29"/>
      <c r="F27" s="29"/>
    </row>
    <row r="28" spans="1:6" ht="15.75">
      <c r="A28" s="11"/>
      <c r="B28" s="29"/>
      <c r="C28" s="29"/>
      <c r="D28" s="29"/>
      <c r="E28" s="29"/>
      <c r="F28" s="29"/>
    </row>
    <row r="29" spans="1:6" ht="15.75">
      <c r="A29" s="3" t="s">
        <v>95</v>
      </c>
      <c r="B29" s="16">
        <v>16278</v>
      </c>
      <c r="C29" s="16">
        <v>2212</v>
      </c>
      <c r="D29" s="16">
        <v>-87</v>
      </c>
      <c r="E29" s="16">
        <v>26485</v>
      </c>
      <c r="F29" s="30">
        <f>SUM(B29:E29)</f>
        <v>44888</v>
      </c>
    </row>
    <row r="30" spans="2:6" ht="15.75">
      <c r="B30" s="16"/>
      <c r="C30" s="16"/>
      <c r="D30" s="16"/>
      <c r="E30" s="16"/>
      <c r="F30" s="30"/>
    </row>
    <row r="31" spans="1:6" ht="15.75">
      <c r="A31" s="3" t="s">
        <v>46</v>
      </c>
      <c r="B31" s="16">
        <v>74</v>
      </c>
      <c r="C31" s="16">
        <v>140</v>
      </c>
      <c r="D31" s="16">
        <v>0</v>
      </c>
      <c r="E31" s="16">
        <v>0</v>
      </c>
      <c r="F31" s="30">
        <f>SUM(B31:E31)</f>
        <v>214</v>
      </c>
    </row>
    <row r="32" spans="1:6" ht="15.75">
      <c r="A32" s="2" t="s">
        <v>79</v>
      </c>
      <c r="B32" s="5">
        <v>0</v>
      </c>
      <c r="C32" s="5">
        <v>0</v>
      </c>
      <c r="D32" s="140">
        <v>-46</v>
      </c>
      <c r="E32" s="5">
        <v>0</v>
      </c>
      <c r="F32" s="30">
        <f>SUM(B32:E32)</f>
        <v>-46</v>
      </c>
    </row>
    <row r="33" spans="1:6" ht="15.75">
      <c r="A33" s="3" t="s">
        <v>163</v>
      </c>
      <c r="B33" s="5">
        <v>0</v>
      </c>
      <c r="C33" s="5">
        <v>0</v>
      </c>
      <c r="D33" s="5">
        <v>0</v>
      </c>
      <c r="E33" s="5">
        <v>1536</v>
      </c>
      <c r="F33" s="30">
        <f>SUM(B33:E33)</f>
        <v>1536</v>
      </c>
    </row>
    <row r="34" spans="1:6" ht="15.75">
      <c r="A34" s="3" t="s">
        <v>144</v>
      </c>
      <c r="B34" s="5">
        <v>0</v>
      </c>
      <c r="C34" s="5">
        <v>0</v>
      </c>
      <c r="D34" s="5">
        <v>0</v>
      </c>
      <c r="E34" s="5">
        <v>-2444</v>
      </c>
      <c r="F34" s="30">
        <f>SUM(B34:E34)</f>
        <v>-2444</v>
      </c>
    </row>
    <row r="35" spans="2:5" ht="15.75">
      <c r="B35" s="5"/>
      <c r="C35" s="5"/>
      <c r="D35" s="5"/>
      <c r="E35" s="5"/>
    </row>
    <row r="36" spans="1:6" ht="15.75">
      <c r="A36" s="3" t="s">
        <v>164</v>
      </c>
      <c r="B36" s="27">
        <f>SUM(B29:B34)</f>
        <v>16352</v>
      </c>
      <c r="C36" s="27">
        <f>SUM(C29:C34)</f>
        <v>2352</v>
      </c>
      <c r="D36" s="27">
        <f>SUM(D29:D34)</f>
        <v>-133</v>
      </c>
      <c r="E36" s="27">
        <f>SUM(E29:E34)</f>
        <v>25577</v>
      </c>
      <c r="F36" s="31">
        <f>SUM(F29:F35)</f>
        <v>44148</v>
      </c>
    </row>
    <row r="37" spans="1:6" ht="15.75">
      <c r="A37" s="11"/>
      <c r="B37" s="29"/>
      <c r="C37" s="29"/>
      <c r="D37" s="29"/>
      <c r="E37" s="29"/>
      <c r="F37" s="17"/>
    </row>
    <row r="38" spans="2:6" ht="15.75">
      <c r="B38" s="17"/>
      <c r="C38" s="17"/>
      <c r="D38" s="17"/>
      <c r="E38" s="17"/>
      <c r="F38" s="17"/>
    </row>
    <row r="39" spans="2:6" ht="15.75">
      <c r="B39" s="17"/>
      <c r="C39" s="17"/>
      <c r="D39" s="17"/>
      <c r="E39" s="17"/>
      <c r="F39" s="17"/>
    </row>
    <row r="40" spans="2:6" ht="15.75">
      <c r="B40" s="17"/>
      <c r="C40" s="17"/>
      <c r="D40" s="17"/>
      <c r="E40" s="17"/>
      <c r="F40" s="17"/>
    </row>
    <row r="41" spans="2:6" ht="15.75">
      <c r="B41" s="17"/>
      <c r="C41" s="17"/>
      <c r="D41" s="17"/>
      <c r="E41" s="17"/>
      <c r="F41" s="17"/>
    </row>
    <row r="42" spans="1:6" ht="15.75">
      <c r="A42" s="6" t="s">
        <v>87</v>
      </c>
      <c r="B42" s="17"/>
      <c r="C42" s="17"/>
      <c r="D42" s="17"/>
      <c r="E42" s="17"/>
      <c r="F42" s="17"/>
    </row>
    <row r="43" spans="1:6" ht="15.75">
      <c r="A43" s="6" t="s">
        <v>96</v>
      </c>
      <c r="B43" s="17"/>
      <c r="C43" s="17"/>
      <c r="D43" s="17"/>
      <c r="E43" s="17"/>
      <c r="F43" s="17"/>
    </row>
  </sheetData>
  <printOptions/>
  <pageMargins left="0.38" right="0.5" top="0.78" bottom="0.5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5"/>
  <sheetViews>
    <sheetView zoomScale="85" zoomScaleNormal="8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17" sqref="AK17"/>
    </sheetView>
  </sheetViews>
  <sheetFormatPr defaultColWidth="9.140625" defaultRowHeight="12.75"/>
  <cols>
    <col min="1" max="1" width="40.7109375" style="35" customWidth="1"/>
    <col min="2" max="2" width="2.7109375" style="35" customWidth="1"/>
    <col min="3" max="3" width="14.57421875" style="35" customWidth="1"/>
    <col min="4" max="4" width="17.7109375" style="35" hidden="1" customWidth="1"/>
    <col min="5" max="5" width="15.8515625" style="35" hidden="1" customWidth="1"/>
    <col min="6" max="6" width="12.8515625" style="35" hidden="1" customWidth="1"/>
    <col min="7" max="7" width="14.140625" style="35" customWidth="1"/>
    <col min="8" max="8" width="13.421875" style="35" customWidth="1"/>
    <col min="9" max="9" width="16.140625" style="35" hidden="1" customWidth="1"/>
    <col min="10" max="10" width="13.421875" style="35" hidden="1" customWidth="1"/>
    <col min="11" max="11" width="12.421875" style="35" hidden="1" customWidth="1"/>
    <col min="12" max="13" width="11.7109375" style="35" customWidth="1"/>
    <col min="14" max="16" width="11.7109375" style="35" hidden="1" customWidth="1"/>
    <col min="17" max="17" width="13.421875" style="35" bestFit="1" customWidth="1"/>
    <col min="18" max="18" width="11.7109375" style="35" customWidth="1"/>
    <col min="19" max="21" width="11.7109375" style="35" hidden="1" customWidth="1"/>
    <col min="22" max="22" width="15.7109375" style="35" bestFit="1" customWidth="1"/>
    <col min="23" max="23" width="13.00390625" style="35" customWidth="1"/>
    <col min="24" max="25" width="13.00390625" style="35" hidden="1" customWidth="1"/>
    <col min="26" max="26" width="13.7109375" style="35" hidden="1" customWidth="1"/>
    <col min="27" max="27" width="12.421875" style="35" bestFit="1" customWidth="1"/>
    <col min="28" max="28" width="11.7109375" style="35" customWidth="1"/>
    <col min="29" max="29" width="12.8515625" style="35" hidden="1" customWidth="1"/>
    <col min="30" max="30" width="15.421875" style="35" hidden="1" customWidth="1"/>
    <col min="31" max="31" width="11.7109375" style="35" hidden="1" customWidth="1"/>
    <col min="32" max="32" width="17.8515625" style="35" bestFit="1" customWidth="1"/>
    <col min="33" max="33" width="13.421875" style="35" bestFit="1" customWidth="1"/>
    <col min="34" max="34" width="12.28125" style="35" hidden="1" customWidth="1"/>
    <col min="35" max="35" width="12.57421875" style="35" hidden="1" customWidth="1"/>
    <col min="36" max="36" width="11.7109375" style="35" hidden="1" customWidth="1"/>
    <col min="37" max="37" width="13.421875" style="35" bestFit="1" customWidth="1"/>
    <col min="38" max="38" width="12.7109375" style="35" hidden="1" customWidth="1"/>
    <col min="39" max="39" width="15.421875" style="35" hidden="1" customWidth="1"/>
    <col min="40" max="40" width="14.28125" style="35" hidden="1" customWidth="1"/>
    <col min="41" max="41" width="13.8515625" style="105" customWidth="1"/>
    <col min="42" max="42" width="15.57421875" style="105" customWidth="1"/>
    <col min="43" max="43" width="9.140625" style="35" customWidth="1"/>
    <col min="44" max="44" width="18.421875" style="35" bestFit="1" customWidth="1"/>
    <col min="45" max="16384" width="9.140625" style="35" customWidth="1"/>
  </cols>
  <sheetData>
    <row r="1" spans="1:42" ht="15.7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5"/>
      <c r="AP1" s="35"/>
    </row>
    <row r="2" spans="1:42" ht="15.75">
      <c r="A2" s="34" t="s">
        <v>147</v>
      </c>
      <c r="B2" s="34"/>
      <c r="C2" s="34"/>
      <c r="D2" s="36" t="s">
        <v>97</v>
      </c>
      <c r="E2" s="34"/>
      <c r="F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3:43" ht="6.75" customHeight="1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4"/>
      <c r="AP3" s="34"/>
      <c r="AQ3" s="38"/>
    </row>
    <row r="4" spans="2:43" ht="16.5" thickBot="1">
      <c r="B4" s="35" t="s">
        <v>98</v>
      </c>
      <c r="C4" s="37"/>
      <c r="D4" s="37"/>
      <c r="E4" s="37"/>
      <c r="F4" s="37"/>
      <c r="G4" s="37"/>
      <c r="H4" s="39">
        <v>0.092</v>
      </c>
      <c r="I4" s="40"/>
      <c r="J4" s="40"/>
      <c r="K4" s="40"/>
      <c r="L4" s="37"/>
      <c r="M4" s="39">
        <v>2.2315</v>
      </c>
      <c r="N4" s="40"/>
      <c r="O4" s="40"/>
      <c r="P4" s="40"/>
      <c r="Q4" s="37"/>
      <c r="R4" s="39">
        <v>0.0632</v>
      </c>
      <c r="S4" s="40"/>
      <c r="T4" s="40"/>
      <c r="U4" s="40"/>
      <c r="V4" s="37"/>
      <c r="W4" s="39">
        <v>0.4859</v>
      </c>
      <c r="X4" s="40"/>
      <c r="Y4" s="40"/>
      <c r="Z4" s="40"/>
      <c r="AA4" s="37"/>
      <c r="AB4" s="39">
        <v>0.465</v>
      </c>
      <c r="AC4" s="40"/>
      <c r="AD4" s="40"/>
      <c r="AE4" s="40"/>
      <c r="AF4" s="40"/>
      <c r="AG4" s="41">
        <v>0.000366</v>
      </c>
      <c r="AH4" s="40"/>
      <c r="AI4" s="40"/>
      <c r="AJ4" s="40"/>
      <c r="AK4" s="37"/>
      <c r="AL4" s="42"/>
      <c r="AM4" s="37"/>
      <c r="AN4" s="37"/>
      <c r="AO4" s="35"/>
      <c r="AP4" s="35"/>
      <c r="AQ4" s="38"/>
    </row>
    <row r="5" spans="3:43" ht="15.75">
      <c r="C5" s="172" t="s">
        <v>99</v>
      </c>
      <c r="D5" s="173"/>
      <c r="E5" s="173"/>
      <c r="F5" s="174"/>
      <c r="G5" s="180" t="s">
        <v>100</v>
      </c>
      <c r="H5" s="181"/>
      <c r="I5" s="181"/>
      <c r="J5" s="181"/>
      <c r="K5" s="182"/>
      <c r="L5" s="183" t="s">
        <v>120</v>
      </c>
      <c r="M5" s="184"/>
      <c r="N5" s="184"/>
      <c r="O5" s="184"/>
      <c r="P5" s="185"/>
      <c r="Q5" s="172" t="s">
        <v>121</v>
      </c>
      <c r="R5" s="173"/>
      <c r="S5" s="173"/>
      <c r="T5" s="173"/>
      <c r="U5" s="174"/>
      <c r="V5" s="172" t="s">
        <v>122</v>
      </c>
      <c r="W5" s="173"/>
      <c r="X5" s="173"/>
      <c r="Y5" s="173"/>
      <c r="Z5" s="174"/>
      <c r="AA5" s="172" t="s">
        <v>123</v>
      </c>
      <c r="AB5" s="175"/>
      <c r="AC5" s="175"/>
      <c r="AD5" s="175"/>
      <c r="AE5" s="176"/>
      <c r="AF5" s="172" t="s">
        <v>101</v>
      </c>
      <c r="AG5" s="173"/>
      <c r="AH5" s="173"/>
      <c r="AI5" s="173"/>
      <c r="AJ5" s="174"/>
      <c r="AK5" s="172" t="s">
        <v>102</v>
      </c>
      <c r="AL5" s="173"/>
      <c r="AM5" s="173"/>
      <c r="AN5" s="173"/>
      <c r="AO5" s="37"/>
      <c r="AP5" s="37"/>
      <c r="AQ5" s="38"/>
    </row>
    <row r="6" spans="2:43" ht="15.75">
      <c r="B6" s="33"/>
      <c r="C6" s="43" t="s">
        <v>103</v>
      </c>
      <c r="D6" s="37" t="s">
        <v>104</v>
      </c>
      <c r="E6" s="178" t="s">
        <v>105</v>
      </c>
      <c r="F6" s="179"/>
      <c r="G6" s="44" t="s">
        <v>103</v>
      </c>
      <c r="H6" s="37" t="s">
        <v>103</v>
      </c>
      <c r="I6" s="37" t="s">
        <v>104</v>
      </c>
      <c r="J6" s="178" t="s">
        <v>105</v>
      </c>
      <c r="K6" s="179"/>
      <c r="L6" s="44" t="s">
        <v>106</v>
      </c>
      <c r="M6" s="37" t="s">
        <v>103</v>
      </c>
      <c r="N6" s="37" t="s">
        <v>104</v>
      </c>
      <c r="O6" s="178" t="s">
        <v>105</v>
      </c>
      <c r="P6" s="179"/>
      <c r="Q6" s="44" t="s">
        <v>103</v>
      </c>
      <c r="R6" s="37" t="s">
        <v>103</v>
      </c>
      <c r="S6" s="37" t="s">
        <v>104</v>
      </c>
      <c r="T6" s="178" t="s">
        <v>105</v>
      </c>
      <c r="U6" s="179"/>
      <c r="V6" s="44" t="s">
        <v>103</v>
      </c>
      <c r="W6" s="37" t="s">
        <v>103</v>
      </c>
      <c r="X6" s="37" t="s">
        <v>104</v>
      </c>
      <c r="Y6" s="178" t="s">
        <v>105</v>
      </c>
      <c r="Z6" s="179"/>
      <c r="AA6" s="44" t="s">
        <v>103</v>
      </c>
      <c r="AB6" s="37" t="s">
        <v>103</v>
      </c>
      <c r="AC6" s="37" t="s">
        <v>104</v>
      </c>
      <c r="AD6" s="178" t="s">
        <v>105</v>
      </c>
      <c r="AE6" s="179"/>
      <c r="AF6" s="44" t="s">
        <v>103</v>
      </c>
      <c r="AG6" s="37" t="s">
        <v>103</v>
      </c>
      <c r="AH6" s="37" t="s">
        <v>104</v>
      </c>
      <c r="AI6" s="178" t="s">
        <v>105</v>
      </c>
      <c r="AJ6" s="179"/>
      <c r="AK6" s="43" t="s">
        <v>103</v>
      </c>
      <c r="AL6" s="37" t="s">
        <v>104</v>
      </c>
      <c r="AM6" s="177" t="s">
        <v>105</v>
      </c>
      <c r="AN6" s="177"/>
      <c r="AO6" s="42"/>
      <c r="AP6" s="42"/>
      <c r="AQ6" s="38"/>
    </row>
    <row r="7" spans="2:43" ht="15.75">
      <c r="B7" s="33"/>
      <c r="C7" s="43" t="s">
        <v>92</v>
      </c>
      <c r="D7" s="37" t="s">
        <v>92</v>
      </c>
      <c r="E7" s="37" t="s">
        <v>92</v>
      </c>
      <c r="F7" s="45" t="s">
        <v>107</v>
      </c>
      <c r="G7" s="46" t="s">
        <v>108</v>
      </c>
      <c r="H7" s="37" t="s">
        <v>92</v>
      </c>
      <c r="I7" s="37" t="s">
        <v>92</v>
      </c>
      <c r="J7" s="37" t="s">
        <v>92</v>
      </c>
      <c r="K7" s="45" t="s">
        <v>107</v>
      </c>
      <c r="L7" s="46" t="s">
        <v>106</v>
      </c>
      <c r="M7" s="37" t="s">
        <v>92</v>
      </c>
      <c r="N7" s="37" t="s">
        <v>92</v>
      </c>
      <c r="O7" s="37" t="s">
        <v>92</v>
      </c>
      <c r="P7" s="45" t="s">
        <v>107</v>
      </c>
      <c r="Q7" s="46" t="s">
        <v>109</v>
      </c>
      <c r="R7" s="37" t="s">
        <v>92</v>
      </c>
      <c r="S7" s="37" t="s">
        <v>92</v>
      </c>
      <c r="T7" s="37" t="s">
        <v>92</v>
      </c>
      <c r="U7" s="45" t="s">
        <v>107</v>
      </c>
      <c r="V7" s="46" t="s">
        <v>110</v>
      </c>
      <c r="W7" s="37" t="s">
        <v>92</v>
      </c>
      <c r="X7" s="37" t="s">
        <v>92</v>
      </c>
      <c r="Y7" s="37" t="s">
        <v>92</v>
      </c>
      <c r="Z7" s="45" t="s">
        <v>107</v>
      </c>
      <c r="AA7" s="46" t="s">
        <v>111</v>
      </c>
      <c r="AB7" s="37" t="s">
        <v>92</v>
      </c>
      <c r="AC7" s="37" t="s">
        <v>92</v>
      </c>
      <c r="AD7" s="37" t="s">
        <v>92</v>
      </c>
      <c r="AE7" s="45" t="s">
        <v>107</v>
      </c>
      <c r="AF7" s="46" t="s">
        <v>112</v>
      </c>
      <c r="AG7" s="37" t="s">
        <v>92</v>
      </c>
      <c r="AH7" s="37" t="s">
        <v>92</v>
      </c>
      <c r="AI7" s="37" t="s">
        <v>92</v>
      </c>
      <c r="AJ7" s="45" t="s">
        <v>107</v>
      </c>
      <c r="AK7" s="43" t="s">
        <v>92</v>
      </c>
      <c r="AL7" s="37" t="s">
        <v>92</v>
      </c>
      <c r="AM7" s="37" t="s">
        <v>92</v>
      </c>
      <c r="AN7" s="37" t="s">
        <v>107</v>
      </c>
      <c r="AO7" s="37"/>
      <c r="AP7" s="37"/>
      <c r="AQ7" s="38"/>
    </row>
    <row r="8" spans="3:43" ht="15.75">
      <c r="C8" s="47"/>
      <c r="D8" s="38"/>
      <c r="E8" s="38"/>
      <c r="F8" s="48"/>
      <c r="G8" s="49"/>
      <c r="H8" s="38"/>
      <c r="I8" s="38"/>
      <c r="J8" s="38"/>
      <c r="K8" s="48"/>
      <c r="L8" s="49"/>
      <c r="M8" s="38"/>
      <c r="N8" s="38"/>
      <c r="O8" s="38"/>
      <c r="P8" s="48"/>
      <c r="Q8" s="49"/>
      <c r="R8" s="38"/>
      <c r="S8" s="38"/>
      <c r="T8" s="38"/>
      <c r="U8" s="48"/>
      <c r="V8" s="49"/>
      <c r="W8" s="38"/>
      <c r="X8" s="38"/>
      <c r="Y8" s="38"/>
      <c r="Z8" s="48"/>
      <c r="AA8" s="49"/>
      <c r="AB8" s="38"/>
      <c r="AC8" s="38"/>
      <c r="AD8" s="38"/>
      <c r="AE8" s="48"/>
      <c r="AF8" s="49"/>
      <c r="AG8" s="38"/>
      <c r="AH8" s="38"/>
      <c r="AI8" s="38"/>
      <c r="AJ8" s="48"/>
      <c r="AK8" s="47"/>
      <c r="AL8" s="38"/>
      <c r="AM8" s="38"/>
      <c r="AN8" s="38"/>
      <c r="AO8" s="50"/>
      <c r="AP8" s="50"/>
      <c r="AQ8" s="38"/>
    </row>
    <row r="9" spans="1:43" ht="15.75" customHeight="1">
      <c r="A9" s="32" t="s">
        <v>7</v>
      </c>
      <c r="B9" s="33"/>
      <c r="C9" s="51">
        <v>3581876.69</v>
      </c>
      <c r="D9" s="24">
        <f>'[1]Grp Jul 05'!D9+'[1]Grp Aug 05'!D9+'[1]Grp Sept 05'!D9</f>
        <v>4161916</v>
      </c>
      <c r="E9" s="52">
        <f>C9-D9</f>
        <v>-580039.31</v>
      </c>
      <c r="F9" s="53">
        <f>E9/D9</f>
        <v>-0.1393683366026609</v>
      </c>
      <c r="G9" s="54">
        <v>26848024</v>
      </c>
      <c r="H9" s="24">
        <f>G9*H4</f>
        <v>2470018.208</v>
      </c>
      <c r="I9" s="24">
        <f>+'[1]Grp Jul 05'!I9+'[1]Grp Aug 05'!I9+'[1]Grp Sept 05'!I9</f>
        <v>1851853.832</v>
      </c>
      <c r="J9" s="52">
        <f>H9-I9</f>
        <v>618164.3760000002</v>
      </c>
      <c r="K9" s="53">
        <f>J9/I9</f>
        <v>0.3338084061053476</v>
      </c>
      <c r="L9" s="54">
        <v>15519</v>
      </c>
      <c r="M9" s="24">
        <f>L9*M4</f>
        <v>34630.6485</v>
      </c>
      <c r="N9" s="24">
        <f>+'[1]Grp Jul 05'!N9+'[1]Grp Aug 05'!N9+'[1]Grp Sept 05'!N9</f>
        <v>18024</v>
      </c>
      <c r="O9" s="52">
        <f>M9-N9</f>
        <v>16606.648500000003</v>
      </c>
      <c r="P9" s="53">
        <f>O9/N9</f>
        <v>0.9213630992010654</v>
      </c>
      <c r="Q9" s="54">
        <v>2960419</v>
      </c>
      <c r="R9" s="24">
        <f>Q9*R4</f>
        <v>187098.48080000002</v>
      </c>
      <c r="S9" s="24">
        <f>+'[1]Grp Jul 05'!S9+'[1]Grp Aug 05'!S9+'[1]Grp Sept 05'!S9</f>
        <v>109358.976</v>
      </c>
      <c r="T9" s="52">
        <f>R9-S9</f>
        <v>77739.50480000002</v>
      </c>
      <c r="U9" s="53">
        <v>0</v>
      </c>
      <c r="V9" s="54">
        <f>1573474-67000</f>
        <v>1506474</v>
      </c>
      <c r="W9" s="24">
        <f>V9*W4</f>
        <v>731995.7166</v>
      </c>
      <c r="X9" s="24">
        <f>+'[1]Grp Jul 05'!X9+'[1]Grp Aug 05'!X9+'[1]Grp Sept 05'!X9</f>
        <v>1254444.0159999998</v>
      </c>
      <c r="Y9" s="52">
        <f>W9-X9</f>
        <v>-522448.2993999998</v>
      </c>
      <c r="Z9" s="53">
        <f>Y9/X9</f>
        <v>-0.4164779717040795</v>
      </c>
      <c r="AA9" s="54">
        <v>1945652</v>
      </c>
      <c r="AB9" s="24">
        <f>AA9*AB4</f>
        <v>904728.18</v>
      </c>
      <c r="AC9" s="24">
        <f>+'[1]Grp Jul 05'!AC9+'[1]Grp Aug 05'!AC9+'[1]Grp Sept 05'!AC9</f>
        <v>205924.842</v>
      </c>
      <c r="AD9" s="52">
        <f>AB9-AC9</f>
        <v>698803.338</v>
      </c>
      <c r="AE9" s="53">
        <f>AD9/AC9</f>
        <v>3.3934873093164737</v>
      </c>
      <c r="AF9" s="54">
        <f>722103324+9929300-263743882</f>
        <v>468288742</v>
      </c>
      <c r="AG9" s="24">
        <f>AF9*AG4</f>
        <v>171393.679572</v>
      </c>
      <c r="AH9" s="24">
        <f>+'[1]Grp Jul 05'!AH9+'[1]Grp Aug 05'!AH9+'[1]Grp Sept 05'!AH9</f>
        <v>1087272.8</v>
      </c>
      <c r="AI9" s="24">
        <f>AG9-AH9</f>
        <v>-915879.1204280001</v>
      </c>
      <c r="AJ9" s="53">
        <f>AI9/AH9</f>
        <v>-0.8423636831786835</v>
      </c>
      <c r="AK9" s="51">
        <f>+AB9+W9+M9+H9+C9+R9+AG9</f>
        <v>8081741.603472</v>
      </c>
      <c r="AL9" s="24">
        <f>+D9+I9+N9+S9+X9+AC9+AH9</f>
        <v>8688794.466</v>
      </c>
      <c r="AM9" s="52">
        <f>AK9-AL9</f>
        <v>-607052.862528</v>
      </c>
      <c r="AN9" s="55">
        <f>AM9/AL9</f>
        <v>-0.06986617820267818</v>
      </c>
      <c r="AO9" s="38"/>
      <c r="AP9" s="38"/>
      <c r="AQ9" s="38"/>
    </row>
    <row r="10" spans="1:43" ht="15.75" customHeight="1">
      <c r="A10" s="32"/>
      <c r="B10" s="33"/>
      <c r="C10" s="51"/>
      <c r="D10" s="24"/>
      <c r="E10" s="24"/>
      <c r="F10" s="56"/>
      <c r="G10" s="54"/>
      <c r="H10" s="24"/>
      <c r="I10" s="24"/>
      <c r="J10" s="24"/>
      <c r="K10" s="56"/>
      <c r="L10" s="54"/>
      <c r="M10" s="24"/>
      <c r="N10" s="24"/>
      <c r="O10" s="24"/>
      <c r="P10" s="56"/>
      <c r="Q10" s="54"/>
      <c r="R10" s="24"/>
      <c r="S10" s="24"/>
      <c r="T10" s="24"/>
      <c r="U10" s="56"/>
      <c r="V10" s="54"/>
      <c r="W10" s="24"/>
      <c r="X10" s="24"/>
      <c r="Y10" s="24"/>
      <c r="Z10" s="56"/>
      <c r="AA10" s="54"/>
      <c r="AB10" s="24"/>
      <c r="AC10" s="24"/>
      <c r="AD10" s="24"/>
      <c r="AE10" s="56"/>
      <c r="AF10" s="57"/>
      <c r="AG10" s="24"/>
      <c r="AH10" s="58"/>
      <c r="AI10" s="24"/>
      <c r="AJ10" s="56"/>
      <c r="AK10" s="59"/>
      <c r="AL10" s="24"/>
      <c r="AM10" s="24"/>
      <c r="AN10" s="24"/>
      <c r="AO10" s="38"/>
      <c r="AP10" s="38"/>
      <c r="AQ10" s="38"/>
    </row>
    <row r="11" spans="1:43" ht="15.75" customHeight="1">
      <c r="A11" s="32" t="s">
        <v>12</v>
      </c>
      <c r="B11" s="33"/>
      <c r="C11" s="51">
        <f>832820+351843+452309+865284+351789+251000</f>
        <v>3105045</v>
      </c>
      <c r="D11" s="24"/>
      <c r="E11" s="24"/>
      <c r="F11" s="56"/>
      <c r="G11" s="54">
        <f>6177677+10169300</f>
        <v>16346977</v>
      </c>
      <c r="H11" s="24">
        <f>G11*H4</f>
        <v>1503921.884</v>
      </c>
      <c r="I11" s="24"/>
      <c r="J11" s="24"/>
      <c r="K11" s="56"/>
      <c r="L11" s="54">
        <f>31703+8106</f>
        <v>39809</v>
      </c>
      <c r="M11" s="24">
        <f>L11*M4</f>
        <v>88833.7835</v>
      </c>
      <c r="N11" s="24"/>
      <c r="O11" s="24"/>
      <c r="P11" s="56"/>
      <c r="Q11" s="54">
        <f>787440+2120561-19026</f>
        <v>2888975</v>
      </c>
      <c r="R11" s="24">
        <f>Q11*R4</f>
        <v>182583.22000000003</v>
      </c>
      <c r="S11" s="24"/>
      <c r="T11" s="24"/>
      <c r="U11" s="56"/>
      <c r="V11" s="54">
        <f>874808+1069626</f>
        <v>1944434</v>
      </c>
      <c r="W11" s="24">
        <f>V11*W4</f>
        <v>944800.4806</v>
      </c>
      <c r="X11" s="24"/>
      <c r="Y11" s="24"/>
      <c r="Z11" s="56"/>
      <c r="AA11" s="54">
        <v>1611973</v>
      </c>
      <c r="AB11" s="24">
        <f>AA11*AB4</f>
        <v>749567.4450000001</v>
      </c>
      <c r="AC11" s="24"/>
      <c r="AD11" s="24"/>
      <c r="AE11" s="56"/>
      <c r="AF11" s="138">
        <f>371142632+796368387</f>
        <v>1167511019</v>
      </c>
      <c r="AG11" s="24">
        <f>AF11*AG4</f>
        <v>427309.032954</v>
      </c>
      <c r="AH11" s="58"/>
      <c r="AI11" s="24"/>
      <c r="AJ11" s="56"/>
      <c r="AK11" s="59">
        <f>AG11+AB11+W11+R11+M11+H11+C11</f>
        <v>7002060.846054001</v>
      </c>
      <c r="AL11" s="24"/>
      <c r="AM11" s="24"/>
      <c r="AN11" s="24"/>
      <c r="AO11" s="38"/>
      <c r="AP11" s="60"/>
      <c r="AQ11" s="38"/>
    </row>
    <row r="12" spans="2:42" s="38" customFormat="1" ht="15.75" customHeight="1">
      <c r="B12" s="61"/>
      <c r="C12" s="62"/>
      <c r="D12" s="63"/>
      <c r="E12" s="63"/>
      <c r="F12" s="64"/>
      <c r="G12" s="65"/>
      <c r="H12" s="63"/>
      <c r="I12" s="63"/>
      <c r="J12" s="63"/>
      <c r="K12" s="64"/>
      <c r="L12" s="65"/>
      <c r="M12" s="63"/>
      <c r="N12" s="63"/>
      <c r="O12" s="63"/>
      <c r="P12" s="64"/>
      <c r="Q12" s="65"/>
      <c r="R12" s="63"/>
      <c r="S12" s="63"/>
      <c r="T12" s="63"/>
      <c r="U12" s="64"/>
      <c r="V12" s="65"/>
      <c r="W12" s="63"/>
      <c r="X12" s="63"/>
      <c r="Y12" s="63"/>
      <c r="Z12" s="64"/>
      <c r="AA12" s="65"/>
      <c r="AB12" s="63"/>
      <c r="AC12" s="63"/>
      <c r="AD12" s="63"/>
      <c r="AE12" s="64"/>
      <c r="AF12" s="65"/>
      <c r="AG12" s="63"/>
      <c r="AH12" s="66"/>
      <c r="AI12" s="63"/>
      <c r="AJ12" s="64"/>
      <c r="AK12" s="62"/>
      <c r="AL12" s="24"/>
      <c r="AM12" s="24"/>
      <c r="AN12" s="24"/>
      <c r="AP12" s="24"/>
    </row>
    <row r="13" spans="1:43" ht="15.75" customHeight="1">
      <c r="A13" s="32" t="s">
        <v>18</v>
      </c>
      <c r="B13" s="33"/>
      <c r="C13" s="51">
        <f>C9-C11</f>
        <v>476831.68999999994</v>
      </c>
      <c r="D13" s="24" t="e">
        <f>#REF!-#REF!</f>
        <v>#REF!</v>
      </c>
      <c r="E13" s="52" t="e">
        <f>#REF!+#REF!</f>
        <v>#REF!</v>
      </c>
      <c r="F13" s="53" t="e">
        <f>E13/D13</f>
        <v>#REF!</v>
      </c>
      <c r="G13" s="54">
        <f>G9-G11</f>
        <v>10501047</v>
      </c>
      <c r="H13" s="24">
        <f>H9-H11</f>
        <v>966096.324</v>
      </c>
      <c r="I13" s="24" t="e">
        <f>#REF!-#REF!</f>
        <v>#REF!</v>
      </c>
      <c r="J13" s="52" t="e">
        <f>#REF!+#REF!</f>
        <v>#REF!</v>
      </c>
      <c r="K13" s="53" t="e">
        <f>J13/-I13</f>
        <v>#REF!</v>
      </c>
      <c r="L13" s="54">
        <f>L9-L11</f>
        <v>-24290</v>
      </c>
      <c r="M13" s="24">
        <f>M9-M11</f>
        <v>-54203.135</v>
      </c>
      <c r="N13" s="24" t="e">
        <f>#REF!-#REF!</f>
        <v>#REF!</v>
      </c>
      <c r="O13" s="52" t="e">
        <f>#REF!+#REF!</f>
        <v>#REF!</v>
      </c>
      <c r="P13" s="53" t="e">
        <f>-O13/N13</f>
        <v>#REF!</v>
      </c>
      <c r="Q13" s="54">
        <f>Q9-Q11</f>
        <v>71444</v>
      </c>
      <c r="R13" s="24">
        <f>R9-R11</f>
        <v>4515.260799999989</v>
      </c>
      <c r="S13" s="24" t="e">
        <f>#REF!-#REF!</f>
        <v>#REF!</v>
      </c>
      <c r="T13" s="52" t="e">
        <f>#REF!+#REF!</f>
        <v>#REF!</v>
      </c>
      <c r="U13" s="53" t="e">
        <f>T13/-S13</f>
        <v>#REF!</v>
      </c>
      <c r="V13" s="54">
        <f>V9-V11</f>
        <v>-437960</v>
      </c>
      <c r="W13" s="24">
        <f>W9-W11</f>
        <v>-212804.76399999997</v>
      </c>
      <c r="X13" s="24" t="e">
        <f>#REF!-#REF!</f>
        <v>#REF!</v>
      </c>
      <c r="Y13" s="52" t="e">
        <f>#REF!+#REF!</f>
        <v>#REF!</v>
      </c>
      <c r="Z13" s="53" t="e">
        <f>Y13/-X13</f>
        <v>#REF!</v>
      </c>
      <c r="AA13" s="54">
        <f>AA9-AA11</f>
        <v>333679</v>
      </c>
      <c r="AB13" s="24">
        <f>AB9-AB11</f>
        <v>155160.735</v>
      </c>
      <c r="AC13" s="24" t="e">
        <f>#REF!-#REF!</f>
        <v>#REF!</v>
      </c>
      <c r="AD13" s="52" t="e">
        <f>#REF!+#REF!</f>
        <v>#REF!</v>
      </c>
      <c r="AE13" s="53" t="e">
        <f>AD13/-AC13</f>
        <v>#REF!</v>
      </c>
      <c r="AF13" s="54">
        <f>AF9-AF11</f>
        <v>-699222277</v>
      </c>
      <c r="AG13" s="54">
        <f>AG9-AG11</f>
        <v>-255915.353382</v>
      </c>
      <c r="AH13" s="24" t="e">
        <f>#REF!-#REF!</f>
        <v>#REF!</v>
      </c>
      <c r="AI13" s="24" t="e">
        <f>#REF!+#REF!</f>
        <v>#REF!</v>
      </c>
      <c r="AJ13" s="53" t="e">
        <f>AI13/-AH13</f>
        <v>#REF!</v>
      </c>
      <c r="AK13" s="51">
        <f>AK9-AK11</f>
        <v>1079680.7574179992</v>
      </c>
      <c r="AL13" s="24" t="e">
        <f>#REF!-#REF!</f>
        <v>#REF!</v>
      </c>
      <c r="AM13" s="52" t="e">
        <f>#REF!+#REF!</f>
        <v>#REF!</v>
      </c>
      <c r="AN13" s="55" t="e">
        <f>AM13/AL13</f>
        <v>#REF!</v>
      </c>
      <c r="AO13" s="52"/>
      <c r="AP13" s="60"/>
      <c r="AQ13" s="38"/>
    </row>
    <row r="14" spans="2:43" ht="15.75" customHeight="1">
      <c r="B14" s="67"/>
      <c r="C14" s="51"/>
      <c r="D14" s="24"/>
      <c r="E14" s="52"/>
      <c r="F14" s="48"/>
      <c r="G14" s="54"/>
      <c r="H14" s="24"/>
      <c r="I14" s="24"/>
      <c r="J14" s="52"/>
      <c r="K14" s="48"/>
      <c r="L14" s="54"/>
      <c r="M14" s="24"/>
      <c r="N14" s="24"/>
      <c r="O14" s="52"/>
      <c r="P14" s="48"/>
      <c r="Q14" s="54"/>
      <c r="R14" s="24"/>
      <c r="S14" s="24"/>
      <c r="T14" s="52"/>
      <c r="U14" s="48"/>
      <c r="V14" s="54"/>
      <c r="W14" s="24"/>
      <c r="X14" s="24"/>
      <c r="Y14" s="52"/>
      <c r="Z14" s="48"/>
      <c r="AA14" s="54"/>
      <c r="AB14" s="24"/>
      <c r="AC14" s="24"/>
      <c r="AD14" s="52"/>
      <c r="AE14" s="48"/>
      <c r="AF14" s="54"/>
      <c r="AG14" s="24"/>
      <c r="AH14" s="68"/>
      <c r="AI14" s="24"/>
      <c r="AJ14" s="48"/>
      <c r="AK14" s="51"/>
      <c r="AL14" s="24"/>
      <c r="AM14" s="52"/>
      <c r="AN14" s="38"/>
      <c r="AO14" s="38"/>
      <c r="AP14" s="24"/>
      <c r="AQ14" s="38"/>
    </row>
    <row r="15" spans="1:45" ht="15.75" customHeight="1">
      <c r="A15" s="32" t="s">
        <v>113</v>
      </c>
      <c r="B15" s="33"/>
      <c r="C15" s="51">
        <v>17297</v>
      </c>
      <c r="D15" s="24">
        <f>'[1]Grp Jul 05'!D31+'[1]Grp Aug 05'!D31+'[1]Grp Sept 05'!D31</f>
        <v>9000</v>
      </c>
      <c r="E15" s="52">
        <f>-(C15-D15)</f>
        <v>-8297</v>
      </c>
      <c r="F15" s="53">
        <f>E15/D15</f>
        <v>-0.9218888888888889</v>
      </c>
      <c r="G15" s="54">
        <f>+'[1]Grp Jul 05'!G31+'[1]Grp Aug 05'!G31+'[1]Grp Sept 05'!G31</f>
        <v>0</v>
      </c>
      <c r="H15" s="24">
        <f>+'[1]Grp Jul 05'!H31+'[1]Grp Aug 05'!H31+'[1]Grp Sept 05'!H31</f>
        <v>0</v>
      </c>
      <c r="I15" s="24">
        <f>+'[1]Grp Jul 05'!I31+'[1]Grp Aug 05'!I31+'[1]Grp Sept 05'!I31</f>
        <v>13359.412</v>
      </c>
      <c r="J15" s="24">
        <f>-(H15-I15)</f>
        <v>13359.412</v>
      </c>
      <c r="K15" s="53">
        <v>0</v>
      </c>
      <c r="L15" s="54">
        <f>+'[1]Grp Jul 05'!L31+'[1]Grp Aug 05'!L31+'[1]Grp Sept 05'!L31</f>
        <v>0</v>
      </c>
      <c r="M15" s="24">
        <f>+'[1]Grp Jul 05'!M31+'[1]Grp Aug 05'!M31+'[1]Grp Sept 05'!M31</f>
        <v>0</v>
      </c>
      <c r="N15" s="24">
        <f>+'[1]Grp Jul 05'!N31+'[1]Grp Aug 05'!N31+'[1]Grp Sept 05'!N31</f>
        <v>0</v>
      </c>
      <c r="O15" s="69">
        <f>-(M15-N15)</f>
        <v>0</v>
      </c>
      <c r="P15" s="53">
        <v>0</v>
      </c>
      <c r="Q15" s="54">
        <v>-19026</v>
      </c>
      <c r="R15" s="24">
        <f>Q15*R4</f>
        <v>-1202.4432000000002</v>
      </c>
      <c r="S15" s="24">
        <f>+'[1]Grp Jul 05'!S31+'[1]Grp Aug 05'!S31+'[1]Grp Sept 05'!S31</f>
        <v>546.816</v>
      </c>
      <c r="T15" s="52">
        <f>-(R15-S15)</f>
        <v>1749.2592000000002</v>
      </c>
      <c r="U15" s="53">
        <f>T15/S15</f>
        <v>3.1989905196629214</v>
      </c>
      <c r="V15" s="54">
        <v>67000</v>
      </c>
      <c r="W15" s="24">
        <f>V15*W4</f>
        <v>32555.3</v>
      </c>
      <c r="X15" s="24">
        <f>+'[1]Grp Jul 05'!X31+'[1]Grp Aug 05'!X31+'[1]Grp Sept 05'!X31</f>
        <v>0</v>
      </c>
      <c r="Y15" s="69">
        <f>-(W15-X15)</f>
        <v>-32555.3</v>
      </c>
      <c r="Z15" s="53">
        <v>0</v>
      </c>
      <c r="AA15" s="54">
        <f>+'[1]Grp Jul 05'!AA31+'[1]Grp Aug 05'!AA31+'[1]Grp Sept 05'!AA31</f>
        <v>0</v>
      </c>
      <c r="AB15" s="24">
        <f>+'[1]Grp Jul 05'!AB31+'[1]Grp Aug 05'!AB31+'[1]Grp Sept 05'!AB31</f>
        <v>0</v>
      </c>
      <c r="AC15" s="24">
        <f>+'[1]Grp Jul 05'!AC31+'[1]Grp Aug 05'!AC31+'[1]Grp Sept 05'!AC31</f>
        <v>0</v>
      </c>
      <c r="AD15" s="69">
        <f>-(AB15-AC15)</f>
        <v>0</v>
      </c>
      <c r="AE15" s="53">
        <v>0</v>
      </c>
      <c r="AF15" s="54">
        <v>0</v>
      </c>
      <c r="AG15" s="24">
        <v>0</v>
      </c>
      <c r="AH15" s="24">
        <f>+'[1]Grp Jul 05'!AH31+'[1]Grp Aug 05'!AH31+'[1]Grp Sept 05'!AH31</f>
        <v>103578.57160000001</v>
      </c>
      <c r="AI15" s="24">
        <f>-(AG15-AH15)</f>
        <v>103578.57160000001</v>
      </c>
      <c r="AJ15" s="53">
        <f>AI15/AH15</f>
        <v>1</v>
      </c>
      <c r="AK15" s="51">
        <f>+AB15+W15+M15+H15+C15+R15+AG15</f>
        <v>48649.8568</v>
      </c>
      <c r="AL15" s="24">
        <f>+D15+I15+N15+S15+X15+AC15+AH15</f>
        <v>126484.79960000001</v>
      </c>
      <c r="AM15" s="52">
        <f>-(AK15-AL15)</f>
        <v>77834.94280000002</v>
      </c>
      <c r="AN15" s="55">
        <f>AM15/AL15</f>
        <v>0.6153699341434543</v>
      </c>
      <c r="AO15" s="38"/>
      <c r="AP15" s="60"/>
      <c r="AQ15" s="38"/>
      <c r="AS15" s="70"/>
    </row>
    <row r="16" spans="2:43" ht="15.75">
      <c r="B16" s="67"/>
      <c r="C16" s="62"/>
      <c r="D16" s="63"/>
      <c r="E16" s="71"/>
      <c r="F16" s="72"/>
      <c r="G16" s="65"/>
      <c r="H16" s="63"/>
      <c r="I16" s="63"/>
      <c r="J16" s="63"/>
      <c r="K16" s="72"/>
      <c r="L16" s="65"/>
      <c r="M16" s="63"/>
      <c r="N16" s="63"/>
      <c r="O16" s="71"/>
      <c r="P16" s="72"/>
      <c r="Q16" s="65"/>
      <c r="R16" s="63"/>
      <c r="S16" s="63"/>
      <c r="T16" s="71"/>
      <c r="U16" s="72"/>
      <c r="V16" s="65"/>
      <c r="W16" s="63"/>
      <c r="X16" s="63"/>
      <c r="Y16" s="71"/>
      <c r="Z16" s="72"/>
      <c r="AA16" s="65"/>
      <c r="AB16" s="63"/>
      <c r="AC16" s="63"/>
      <c r="AD16" s="71"/>
      <c r="AE16" s="72"/>
      <c r="AF16" s="65"/>
      <c r="AG16" s="63"/>
      <c r="AH16" s="73"/>
      <c r="AI16" s="63"/>
      <c r="AJ16" s="72"/>
      <c r="AK16" s="62"/>
      <c r="AL16" s="63"/>
      <c r="AM16" s="71"/>
      <c r="AN16" s="74"/>
      <c r="AO16" s="38"/>
      <c r="AP16" s="24"/>
      <c r="AQ16" s="38"/>
    </row>
    <row r="17" spans="1:44" ht="15.75">
      <c r="A17" s="32" t="s">
        <v>25</v>
      </c>
      <c r="B17" s="33"/>
      <c r="C17" s="51">
        <f>C13+C15</f>
        <v>494128.68999999994</v>
      </c>
      <c r="D17" s="24" t="e">
        <f>D13-D15</f>
        <v>#REF!</v>
      </c>
      <c r="E17" s="52" t="e">
        <f>E13+E15</f>
        <v>#REF!</v>
      </c>
      <c r="F17" s="53" t="e">
        <f>E17/D17</f>
        <v>#REF!</v>
      </c>
      <c r="G17" s="54">
        <f>G13-G15</f>
        <v>10501047</v>
      </c>
      <c r="H17" s="24">
        <f>H13-H15</f>
        <v>966096.324</v>
      </c>
      <c r="I17" s="24" t="e">
        <f>I13-I15</f>
        <v>#REF!</v>
      </c>
      <c r="J17" s="24" t="e">
        <f>J13+J15</f>
        <v>#REF!</v>
      </c>
      <c r="K17" s="53" t="e">
        <f>J17/-I17</f>
        <v>#REF!</v>
      </c>
      <c r="L17" s="54">
        <f>L13-L15</f>
        <v>-24290</v>
      </c>
      <c r="M17" s="24">
        <f>M13-M15</f>
        <v>-54203.135</v>
      </c>
      <c r="N17" s="24" t="e">
        <f>N13-N15</f>
        <v>#REF!</v>
      </c>
      <c r="O17" s="52" t="e">
        <f>O13+O15</f>
        <v>#REF!</v>
      </c>
      <c r="P17" s="53" t="e">
        <f>-O17/N17</f>
        <v>#REF!</v>
      </c>
      <c r="Q17" s="54">
        <f>Q13+Q15</f>
        <v>52418</v>
      </c>
      <c r="R17" s="75">
        <f>R13+R15</f>
        <v>3312.817599999989</v>
      </c>
      <c r="S17" s="24" t="e">
        <f>S13-S15</f>
        <v>#REF!</v>
      </c>
      <c r="T17" s="52" t="e">
        <f>T13+T15</f>
        <v>#REF!</v>
      </c>
      <c r="U17" s="53" t="e">
        <f>T17/-S17</f>
        <v>#REF!</v>
      </c>
      <c r="V17" s="54">
        <f>V13+V15</f>
        <v>-370960</v>
      </c>
      <c r="W17" s="24">
        <f>W13+W15</f>
        <v>-180249.46399999998</v>
      </c>
      <c r="X17" s="24" t="e">
        <f>X13-X15</f>
        <v>#REF!</v>
      </c>
      <c r="Y17" s="52" t="e">
        <f>Y13+Y15</f>
        <v>#REF!</v>
      </c>
      <c r="Z17" s="53" t="e">
        <f>Y17/-X17</f>
        <v>#REF!</v>
      </c>
      <c r="AA17" s="54">
        <f>AA13-AA15</f>
        <v>333679</v>
      </c>
      <c r="AB17" s="24">
        <f>AB13-AB15</f>
        <v>155160.735</v>
      </c>
      <c r="AC17" s="24" t="e">
        <f>AC13-AC15</f>
        <v>#REF!</v>
      </c>
      <c r="AD17" s="52" t="e">
        <f>AD13+AD15</f>
        <v>#REF!</v>
      </c>
      <c r="AE17" s="53" t="e">
        <f>AD17/-AC17</f>
        <v>#REF!</v>
      </c>
      <c r="AF17" s="54">
        <f>AF13-AF15</f>
        <v>-699222277</v>
      </c>
      <c r="AG17" s="54">
        <f>AG13-AG15</f>
        <v>-255915.353382</v>
      </c>
      <c r="AH17" s="24" t="e">
        <f>AH13-AH15</f>
        <v>#REF!</v>
      </c>
      <c r="AI17" s="24" t="e">
        <f>AI13+AI15</f>
        <v>#REF!</v>
      </c>
      <c r="AJ17" s="53" t="e">
        <f>AI17/-AH17</f>
        <v>#REF!</v>
      </c>
      <c r="AK17" s="51">
        <f>AK13+AK15</f>
        <v>1128330.6142179992</v>
      </c>
      <c r="AL17" s="24" t="e">
        <f>AL13-AL15</f>
        <v>#REF!</v>
      </c>
      <c r="AM17" s="52" t="e">
        <f>AM13+AM15</f>
        <v>#REF!</v>
      </c>
      <c r="AN17" s="55" t="e">
        <f>AM17/AL17</f>
        <v>#REF!</v>
      </c>
      <c r="AO17" s="38"/>
      <c r="AP17" s="24"/>
      <c r="AQ17" s="38"/>
      <c r="AR17" s="76"/>
    </row>
    <row r="18" spans="1:44" ht="15.75">
      <c r="A18" s="32"/>
      <c r="B18" s="33"/>
      <c r="C18" s="51"/>
      <c r="D18" s="24"/>
      <c r="E18" s="52"/>
      <c r="F18" s="53"/>
      <c r="G18" s="54"/>
      <c r="H18" s="24"/>
      <c r="I18" s="24"/>
      <c r="J18" s="24"/>
      <c r="K18" s="53"/>
      <c r="L18" s="54"/>
      <c r="M18" s="24"/>
      <c r="N18" s="24"/>
      <c r="O18" s="52"/>
      <c r="P18" s="53"/>
      <c r="Q18" s="54"/>
      <c r="R18" s="24"/>
      <c r="S18" s="24"/>
      <c r="T18" s="52"/>
      <c r="U18" s="53"/>
      <c r="V18" s="54"/>
      <c r="W18" s="24"/>
      <c r="X18" s="24"/>
      <c r="Y18" s="52"/>
      <c r="Z18" s="53"/>
      <c r="AA18" s="54"/>
      <c r="AB18" s="24"/>
      <c r="AC18" s="24"/>
      <c r="AD18" s="52"/>
      <c r="AE18" s="53"/>
      <c r="AF18" s="54"/>
      <c r="AG18" s="24"/>
      <c r="AH18" s="24"/>
      <c r="AI18" s="24"/>
      <c r="AJ18" s="53"/>
      <c r="AK18" s="51"/>
      <c r="AL18" s="24"/>
      <c r="AM18" s="52"/>
      <c r="AN18" s="55"/>
      <c r="AO18" s="38"/>
      <c r="AP18" s="24"/>
      <c r="AQ18" s="38"/>
      <c r="AR18" s="76"/>
    </row>
    <row r="19" spans="1:44" ht="15.75">
      <c r="A19" s="32" t="s">
        <v>2</v>
      </c>
      <c r="B19" s="33"/>
      <c r="C19" s="51">
        <v>6056</v>
      </c>
      <c r="D19" s="24"/>
      <c r="E19" s="52"/>
      <c r="F19" s="53"/>
      <c r="G19" s="54">
        <v>1578190</v>
      </c>
      <c r="H19" s="24">
        <f>G19*H4</f>
        <v>145193.48</v>
      </c>
      <c r="I19" s="24"/>
      <c r="J19" s="24"/>
      <c r="K19" s="53"/>
      <c r="L19" s="54">
        <v>0</v>
      </c>
      <c r="M19" s="24">
        <v>0</v>
      </c>
      <c r="N19" s="24"/>
      <c r="O19" s="52"/>
      <c r="P19" s="53"/>
      <c r="Q19" s="54">
        <v>0</v>
      </c>
      <c r="R19" s="24">
        <f>Q19*R4</f>
        <v>0</v>
      </c>
      <c r="S19" s="24"/>
      <c r="T19" s="52"/>
      <c r="U19" s="53"/>
      <c r="V19" s="54">
        <v>0</v>
      </c>
      <c r="W19" s="24">
        <v>0</v>
      </c>
      <c r="X19" s="24"/>
      <c r="Y19" s="52"/>
      <c r="Z19" s="53"/>
      <c r="AA19" s="54">
        <v>0</v>
      </c>
      <c r="AB19" s="24">
        <v>0</v>
      </c>
      <c r="AC19" s="24"/>
      <c r="AD19" s="52"/>
      <c r="AE19" s="53"/>
      <c r="AF19" s="54">
        <v>57446636</v>
      </c>
      <c r="AG19" s="24">
        <f>AF19*AG4</f>
        <v>21025.468776</v>
      </c>
      <c r="AH19" s="24"/>
      <c r="AI19" s="24"/>
      <c r="AJ19" s="53"/>
      <c r="AK19" s="51">
        <f>AG19+C19+R19+H19</f>
        <v>172274.948776</v>
      </c>
      <c r="AL19" s="24"/>
      <c r="AM19" s="52"/>
      <c r="AN19" s="55"/>
      <c r="AO19" s="38"/>
      <c r="AP19" s="60"/>
      <c r="AQ19" s="38"/>
      <c r="AR19" s="76"/>
    </row>
    <row r="20" spans="1:44" ht="15.75">
      <c r="A20" s="32"/>
      <c r="B20" s="33"/>
      <c r="C20" s="51"/>
      <c r="D20" s="24"/>
      <c r="E20" s="52"/>
      <c r="F20" s="53"/>
      <c r="G20" s="54"/>
      <c r="H20" s="24"/>
      <c r="I20" s="24"/>
      <c r="J20" s="24"/>
      <c r="K20" s="53"/>
      <c r="L20" s="54"/>
      <c r="M20" s="24"/>
      <c r="N20" s="24"/>
      <c r="O20" s="52"/>
      <c r="P20" s="53"/>
      <c r="Q20" s="54"/>
      <c r="R20" s="24"/>
      <c r="S20" s="24"/>
      <c r="T20" s="52"/>
      <c r="U20" s="53"/>
      <c r="V20" s="54"/>
      <c r="W20" s="24"/>
      <c r="X20" s="24"/>
      <c r="Y20" s="52"/>
      <c r="Z20" s="53"/>
      <c r="AA20" s="54"/>
      <c r="AB20" s="24"/>
      <c r="AC20" s="24"/>
      <c r="AD20" s="52"/>
      <c r="AE20" s="53"/>
      <c r="AF20" s="54"/>
      <c r="AG20" s="24"/>
      <c r="AH20" s="24"/>
      <c r="AI20" s="24"/>
      <c r="AJ20" s="53"/>
      <c r="AK20" s="51"/>
      <c r="AL20" s="24"/>
      <c r="AM20" s="52"/>
      <c r="AN20" s="55"/>
      <c r="AO20" s="38"/>
      <c r="AP20" s="24"/>
      <c r="AQ20" s="38"/>
      <c r="AR20" s="76"/>
    </row>
    <row r="21" spans="1:43" s="17" customFormat="1" ht="15.75" customHeight="1" thickBot="1">
      <c r="A21" s="32" t="s">
        <v>24</v>
      </c>
      <c r="B21" s="77"/>
      <c r="C21" s="78">
        <f>C17-C19</f>
        <v>488072.68999999994</v>
      </c>
      <c r="D21" s="23" t="e">
        <f>SUM(D17:D20)</f>
        <v>#REF!</v>
      </c>
      <c r="E21" s="23" t="e">
        <f>SUM(E17:E20)</f>
        <v>#REF!</v>
      </c>
      <c r="F21" s="79" t="e">
        <f>E21/D21</f>
        <v>#REF!</v>
      </c>
      <c r="G21" s="78">
        <f>G17-G19</f>
        <v>8922857</v>
      </c>
      <c r="H21" s="78">
        <f>H17-H19</f>
        <v>820902.844</v>
      </c>
      <c r="I21" s="23" t="e">
        <f>SUM(I17:I20)</f>
        <v>#REF!</v>
      </c>
      <c r="J21" s="23" t="e">
        <f>SUM(J17:J20)</f>
        <v>#REF!</v>
      </c>
      <c r="K21" s="79" t="e">
        <f>J21/-I21</f>
        <v>#REF!</v>
      </c>
      <c r="L21" s="80">
        <f>SUM(L17:L20)</f>
        <v>-24290</v>
      </c>
      <c r="M21" s="23">
        <f>SUM(M17:M20)</f>
        <v>-54203.135</v>
      </c>
      <c r="N21" s="23" t="e">
        <f>SUM(N17:N20)</f>
        <v>#REF!</v>
      </c>
      <c r="O21" s="23" t="e">
        <f>SUM(O17:O20)</f>
        <v>#REF!</v>
      </c>
      <c r="P21" s="79" t="e">
        <f>-O21/N21</f>
        <v>#REF!</v>
      </c>
      <c r="Q21" s="80">
        <f>Q17-Q19</f>
        <v>52418</v>
      </c>
      <c r="R21" s="23">
        <f>R17-R19</f>
        <v>3312.817599999989</v>
      </c>
      <c r="S21" s="23" t="e">
        <f>SUM(S17:S20)</f>
        <v>#REF!</v>
      </c>
      <c r="T21" s="23" t="e">
        <f>SUM(T17:T20)</f>
        <v>#REF!</v>
      </c>
      <c r="U21" s="79" t="e">
        <f>T21/-S21</f>
        <v>#REF!</v>
      </c>
      <c r="V21" s="80">
        <f>SUM(V17:V20)</f>
        <v>-370960</v>
      </c>
      <c r="W21" s="23">
        <f>SUM(W17:W20)</f>
        <v>-180249.46399999998</v>
      </c>
      <c r="X21" s="23" t="e">
        <f>SUM(X17:X20)</f>
        <v>#REF!</v>
      </c>
      <c r="Y21" s="23" t="e">
        <f>SUM(Y17:Y20)</f>
        <v>#REF!</v>
      </c>
      <c r="Z21" s="79" t="e">
        <f>Y21/-X21</f>
        <v>#REF!</v>
      </c>
      <c r="AA21" s="80">
        <f>SUM(AA17:AA20)</f>
        <v>333679</v>
      </c>
      <c r="AB21" s="23">
        <f>SUM(AB17:AB20)</f>
        <v>155160.735</v>
      </c>
      <c r="AC21" s="23" t="e">
        <f>SUM(AC17:AC20)</f>
        <v>#REF!</v>
      </c>
      <c r="AD21" s="23" t="e">
        <f>SUM(AD17:AD20)</f>
        <v>#REF!</v>
      </c>
      <c r="AE21" s="79" t="e">
        <f>AD21/-AC21</f>
        <v>#REF!</v>
      </c>
      <c r="AF21" s="80">
        <f>AF17-AF19</f>
        <v>-756668913</v>
      </c>
      <c r="AG21" s="23">
        <f>AG17-AG19</f>
        <v>-276940.822158</v>
      </c>
      <c r="AH21" s="23" t="e">
        <f>SUM(AH17:AH20)</f>
        <v>#REF!</v>
      </c>
      <c r="AI21" s="23" t="e">
        <f>SUM(AI17:AI20)</f>
        <v>#REF!</v>
      </c>
      <c r="AJ21" s="79" t="e">
        <f>AI21/-AH21</f>
        <v>#REF!</v>
      </c>
      <c r="AK21" s="78">
        <f>AK17-AK19</f>
        <v>956055.6654419992</v>
      </c>
      <c r="AL21" s="23" t="e">
        <f>SUM(AL17:AL20)</f>
        <v>#REF!</v>
      </c>
      <c r="AM21" s="23" t="e">
        <f>SUM(AM17:AM20)</f>
        <v>#REF!</v>
      </c>
      <c r="AN21" s="81" t="e">
        <f>AM21/AL21</f>
        <v>#REF!</v>
      </c>
      <c r="AO21" s="38"/>
      <c r="AP21" s="24"/>
      <c r="AQ21" s="19"/>
    </row>
    <row r="22" spans="1:43" ht="15.75" customHeight="1" thickTop="1">
      <c r="A22" s="82"/>
      <c r="B22" s="83"/>
      <c r="C22" s="62"/>
      <c r="D22" s="63"/>
      <c r="E22" s="63"/>
      <c r="F22" s="84"/>
      <c r="G22" s="65"/>
      <c r="H22" s="63"/>
      <c r="I22" s="63"/>
      <c r="J22" s="63"/>
      <c r="K22" s="84"/>
      <c r="L22" s="65"/>
      <c r="M22" s="63"/>
      <c r="N22" s="63"/>
      <c r="O22" s="63"/>
      <c r="P22" s="84"/>
      <c r="Q22" s="65"/>
      <c r="R22" s="63"/>
      <c r="S22" s="63"/>
      <c r="T22" s="63"/>
      <c r="U22" s="84"/>
      <c r="V22" s="65"/>
      <c r="W22" s="63"/>
      <c r="X22" s="63"/>
      <c r="Y22" s="63"/>
      <c r="Z22" s="84"/>
      <c r="AA22" s="65"/>
      <c r="AB22" s="63"/>
      <c r="AC22" s="63"/>
      <c r="AD22" s="63"/>
      <c r="AE22" s="84"/>
      <c r="AF22" s="85"/>
      <c r="AG22" s="63"/>
      <c r="AH22" s="86"/>
      <c r="AI22" s="63"/>
      <c r="AJ22" s="84"/>
      <c r="AK22" s="62"/>
      <c r="AL22" s="63"/>
      <c r="AM22" s="63"/>
      <c r="AN22" s="87"/>
      <c r="AO22" s="38"/>
      <c r="AP22" s="24"/>
      <c r="AQ22" s="38"/>
    </row>
    <row r="23" spans="1:43" s="17" customFormat="1" ht="15.75" customHeight="1">
      <c r="A23" s="88" t="s">
        <v>19</v>
      </c>
      <c r="B23" s="77"/>
      <c r="C23" s="89">
        <v>0</v>
      </c>
      <c r="D23" s="18"/>
      <c r="E23" s="18"/>
      <c r="F23" s="90"/>
      <c r="G23" s="91">
        <f>-G21*0.3</f>
        <v>-2676857.1</v>
      </c>
      <c r="H23" s="18">
        <f>G23*H4</f>
        <v>-246270.8532</v>
      </c>
      <c r="I23" s="18">
        <v>0</v>
      </c>
      <c r="J23" s="92">
        <f>-(H23-I23)</f>
        <v>246270.8532</v>
      </c>
      <c r="K23" s="93">
        <v>0</v>
      </c>
      <c r="L23" s="91">
        <v>0</v>
      </c>
      <c r="M23" s="18">
        <f>+L23*M$4</f>
        <v>0</v>
      </c>
      <c r="N23" s="18">
        <f>+M23*N$4</f>
        <v>0</v>
      </c>
      <c r="O23" s="18"/>
      <c r="P23" s="90"/>
      <c r="Q23" s="91">
        <f>-Q21*0.4</f>
        <v>-20967.2</v>
      </c>
      <c r="R23" s="18">
        <f>+Q23*R$4</f>
        <v>-1325.12704</v>
      </c>
      <c r="S23" s="18">
        <v>0</v>
      </c>
      <c r="T23" s="94">
        <f>-(R23-S23)</f>
        <v>1325.12704</v>
      </c>
      <c r="U23" s="93">
        <v>0</v>
      </c>
      <c r="V23" s="91">
        <v>0</v>
      </c>
      <c r="W23" s="18">
        <f>+V23*W$4</f>
        <v>0</v>
      </c>
      <c r="X23" s="18">
        <v>0</v>
      </c>
      <c r="Y23" s="94"/>
      <c r="Z23" s="93">
        <v>0</v>
      </c>
      <c r="AA23" s="91"/>
      <c r="AB23" s="18"/>
      <c r="AC23" s="18">
        <v>0</v>
      </c>
      <c r="AD23" s="94">
        <f>-(AB23-AC23)</f>
        <v>0</v>
      </c>
      <c r="AE23" s="93">
        <v>0</v>
      </c>
      <c r="AF23" s="91">
        <f>-AF21*0.2</f>
        <v>151333782.6</v>
      </c>
      <c r="AG23" s="91">
        <f>-AG21*0.2</f>
        <v>55388.16443160001</v>
      </c>
      <c r="AH23" s="18">
        <v>0</v>
      </c>
      <c r="AI23" s="18">
        <f>-(AG23-AH23)</f>
        <v>-55388.16443160001</v>
      </c>
      <c r="AJ23" s="93">
        <v>0</v>
      </c>
      <c r="AK23" s="51">
        <f>+AB23+W23+M23+H23+C23+R23+AG23</f>
        <v>-192207.8158084</v>
      </c>
      <c r="AL23" s="18">
        <f>+D23+I23+N23+S23+X23+AC23+AH23</f>
        <v>0</v>
      </c>
      <c r="AM23" s="94">
        <f>-(AK23-AL23)</f>
        <v>192207.8158084</v>
      </c>
      <c r="AN23" s="95">
        <v>0</v>
      </c>
      <c r="AO23" s="38"/>
      <c r="AP23" s="60"/>
      <c r="AQ23" s="19"/>
    </row>
    <row r="24" spans="2:43" ht="15.75" customHeight="1">
      <c r="B24" s="67"/>
      <c r="C24" s="51"/>
      <c r="D24" s="24"/>
      <c r="E24" s="24"/>
      <c r="F24" s="56"/>
      <c r="G24" s="54"/>
      <c r="H24" s="24"/>
      <c r="I24" s="24"/>
      <c r="J24" s="24"/>
      <c r="K24" s="56"/>
      <c r="L24" s="54"/>
      <c r="M24" s="24"/>
      <c r="N24" s="24"/>
      <c r="O24" s="24"/>
      <c r="P24" s="56"/>
      <c r="Q24" s="54"/>
      <c r="R24" s="24"/>
      <c r="S24" s="24"/>
      <c r="T24" s="24"/>
      <c r="U24" s="56"/>
      <c r="V24" s="54"/>
      <c r="W24" s="24"/>
      <c r="X24" s="24"/>
      <c r="Y24" s="24"/>
      <c r="Z24" s="56"/>
      <c r="AA24" s="54"/>
      <c r="AB24" s="24"/>
      <c r="AC24" s="24"/>
      <c r="AD24" s="24"/>
      <c r="AE24" s="56"/>
      <c r="AF24" s="54"/>
      <c r="AG24" s="24"/>
      <c r="AH24" s="24"/>
      <c r="AI24" s="24"/>
      <c r="AJ24" s="56"/>
      <c r="AK24" s="51"/>
      <c r="AL24" s="24"/>
      <c r="AM24" s="24"/>
      <c r="AN24" s="24"/>
      <c r="AO24" s="38"/>
      <c r="AP24" s="24"/>
      <c r="AQ24" s="38"/>
    </row>
    <row r="25" spans="1:43" ht="15.75" customHeight="1" thickBot="1">
      <c r="A25" s="32" t="s">
        <v>114</v>
      </c>
      <c r="B25" s="33"/>
      <c r="C25" s="96">
        <f>SUM(C21:C24)</f>
        <v>488072.68999999994</v>
      </c>
      <c r="D25" s="97">
        <f>SUM(D23:D23)</f>
        <v>0</v>
      </c>
      <c r="E25" s="97">
        <f>SUM(E23:E23)</f>
        <v>0</v>
      </c>
      <c r="F25" s="98" t="e">
        <f>E25/D25</f>
        <v>#DIV/0!</v>
      </c>
      <c r="G25" s="96">
        <f>SUM(G21:G24)</f>
        <v>6245999.9</v>
      </c>
      <c r="H25" s="96">
        <f>SUM(H21:H24)</f>
        <v>574631.9908</v>
      </c>
      <c r="I25" s="97">
        <f>SUM(I23:I23)</f>
        <v>0</v>
      </c>
      <c r="J25" s="97">
        <f>SUM(J23:J23)</f>
        <v>246270.8532</v>
      </c>
      <c r="K25" s="98" t="e">
        <f>J25/-I25</f>
        <v>#DIV/0!</v>
      </c>
      <c r="L25" s="96">
        <f>SUM(L21:L24)</f>
        <v>-24290</v>
      </c>
      <c r="M25" s="96">
        <f>SUM(M21:M24)</f>
        <v>-54203.135</v>
      </c>
      <c r="N25" s="97">
        <f>SUM(N23:N23)</f>
        <v>0</v>
      </c>
      <c r="O25" s="97">
        <f>SUM(O23:O23)</f>
        <v>0</v>
      </c>
      <c r="P25" s="98" t="e">
        <f>-O25/N25</f>
        <v>#DIV/0!</v>
      </c>
      <c r="Q25" s="96">
        <f>SUM(Q21:Q24)</f>
        <v>31450.8</v>
      </c>
      <c r="R25" s="96">
        <f>SUM(R21:R24)</f>
        <v>1987.6905599999889</v>
      </c>
      <c r="S25" s="97">
        <f>SUM(S23:S23)</f>
        <v>0</v>
      </c>
      <c r="T25" s="97">
        <f>SUM(T23:T23)</f>
        <v>1325.12704</v>
      </c>
      <c r="U25" s="98" t="e">
        <f>T25/-S25</f>
        <v>#DIV/0!</v>
      </c>
      <c r="V25" s="96">
        <f>SUM(V21:V24)</f>
        <v>-370960</v>
      </c>
      <c r="W25" s="96">
        <f>SUM(W21:W24)</f>
        <v>-180249.46399999998</v>
      </c>
      <c r="X25" s="97">
        <f>SUM(X23:X23)</f>
        <v>0</v>
      </c>
      <c r="Y25" s="97">
        <f>SUM(Y23:Y23)</f>
        <v>0</v>
      </c>
      <c r="Z25" s="98" t="e">
        <f>Y25/-X25</f>
        <v>#DIV/0!</v>
      </c>
      <c r="AA25" s="96">
        <f>SUM(AA21:AA24)</f>
        <v>333679</v>
      </c>
      <c r="AB25" s="96">
        <f>SUM(AB21:AB24)</f>
        <v>155160.735</v>
      </c>
      <c r="AC25" s="97">
        <f>SUM(AC23:AC24)</f>
        <v>0</v>
      </c>
      <c r="AD25" s="97">
        <f>SUM(AD23:AD24)</f>
        <v>0</v>
      </c>
      <c r="AE25" s="98" t="e">
        <f>AD25/-AC25</f>
        <v>#DIV/0!</v>
      </c>
      <c r="AF25" s="96">
        <f>SUM(AF21:AF24)</f>
        <v>-605335130.4</v>
      </c>
      <c r="AG25" s="96">
        <f>SUM(AG21:AG24)</f>
        <v>-221552.6577264</v>
      </c>
      <c r="AH25" s="97">
        <f>SUM(AH23:AH24)</f>
        <v>0</v>
      </c>
      <c r="AI25" s="97">
        <f>SUM(AI23:AI24)</f>
        <v>-55388.16443160001</v>
      </c>
      <c r="AJ25" s="98" t="e">
        <f>AI25/-AH25</f>
        <v>#DIV/0!</v>
      </c>
      <c r="AK25" s="96">
        <f>SUM(AK21:AK24)</f>
        <v>763847.8496335992</v>
      </c>
      <c r="AL25" s="97">
        <f>SUM(AL23:AL24)</f>
        <v>0</v>
      </c>
      <c r="AM25" s="97">
        <f>SUM(AM23:AM24)</f>
        <v>192207.8158084</v>
      </c>
      <c r="AN25" s="99" t="e">
        <f>AM25/AL25</f>
        <v>#DIV/0!</v>
      </c>
      <c r="AO25" s="38"/>
      <c r="AP25" s="24"/>
      <c r="AQ25" s="38"/>
    </row>
    <row r="26" spans="3:43" ht="15.75" customHeight="1" thickTop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70"/>
      <c r="AL26" s="70"/>
      <c r="AM26" s="70"/>
      <c r="AN26" s="70"/>
      <c r="AO26" s="38"/>
      <c r="AP26" s="24"/>
      <c r="AQ26" s="38"/>
    </row>
    <row r="27" spans="1:43" s="32" customFormat="1" ht="15.75">
      <c r="A27" s="88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L27" s="100"/>
      <c r="AM27" s="100"/>
      <c r="AN27" s="100"/>
      <c r="AO27" s="52"/>
      <c r="AP27" s="60"/>
      <c r="AQ27" s="101"/>
    </row>
    <row r="28" spans="24:43" ht="15.75"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L28" s="25"/>
      <c r="AM28" s="25"/>
      <c r="AN28" s="25"/>
      <c r="AO28" s="38"/>
      <c r="AP28" s="24"/>
      <c r="AQ28" s="38"/>
    </row>
    <row r="29" spans="24:43" ht="15.75"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L29" s="25"/>
      <c r="AM29" s="25"/>
      <c r="AN29" s="25"/>
      <c r="AO29" s="102"/>
      <c r="AP29" s="24"/>
      <c r="AQ29" s="38"/>
    </row>
    <row r="30" spans="24:43" ht="15.75"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L30" s="25"/>
      <c r="AM30" s="25"/>
      <c r="AN30" s="25"/>
      <c r="AO30" s="24"/>
      <c r="AP30" s="24"/>
      <c r="AQ30" s="38"/>
    </row>
    <row r="31" spans="24:43" ht="15.75"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L31" s="25"/>
      <c r="AM31" s="25"/>
      <c r="AN31" s="25"/>
      <c r="AO31" s="24"/>
      <c r="AP31" s="103"/>
      <c r="AQ31" s="38"/>
    </row>
    <row r="32" spans="24:43" ht="15.75"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L32" s="25"/>
      <c r="AM32" s="25"/>
      <c r="AN32" s="25"/>
      <c r="AO32" s="50"/>
      <c r="AP32" s="50"/>
      <c r="AQ32" s="38"/>
    </row>
    <row r="33" spans="24:43" ht="15.75"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L33" s="25"/>
      <c r="AM33" s="25"/>
      <c r="AN33" s="25"/>
      <c r="AO33" s="25"/>
      <c r="AP33" s="25"/>
      <c r="AQ33" s="38"/>
    </row>
    <row r="34" spans="24:43" ht="15.75"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L34" s="25"/>
      <c r="AM34" s="25"/>
      <c r="AN34" s="25"/>
      <c r="AO34" s="25"/>
      <c r="AP34" s="25"/>
      <c r="AQ34" s="38"/>
    </row>
    <row r="35" spans="24:43" ht="15.75"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L35" s="25"/>
      <c r="AM35" s="25"/>
      <c r="AN35" s="25"/>
      <c r="AO35" s="25"/>
      <c r="AP35" s="25"/>
      <c r="AQ35" s="38"/>
    </row>
    <row r="36" spans="24:43" ht="15.75"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L36" s="25"/>
      <c r="AM36" s="25"/>
      <c r="AN36" s="25"/>
      <c r="AO36" s="25"/>
      <c r="AP36" s="25"/>
      <c r="AQ36" s="38"/>
    </row>
    <row r="37" spans="24:43" ht="15.75"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L37" s="25"/>
      <c r="AM37" s="25"/>
      <c r="AN37" s="25"/>
      <c r="AO37" s="25"/>
      <c r="AP37" s="25"/>
      <c r="AQ37" s="38"/>
    </row>
    <row r="38" spans="24:43" ht="10.5" customHeight="1"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L38" s="25"/>
      <c r="AM38" s="25"/>
      <c r="AN38" s="25"/>
      <c r="AO38" s="25"/>
      <c r="AP38" s="25"/>
      <c r="AQ38" s="38"/>
    </row>
    <row r="39" spans="24:43" ht="15.75"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L39" s="25"/>
      <c r="AM39" s="25"/>
      <c r="AN39" s="25"/>
      <c r="AO39" s="25"/>
      <c r="AP39" s="25"/>
      <c r="AQ39" s="38"/>
    </row>
    <row r="40" spans="24:42" ht="15.75"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K40" s="25"/>
      <c r="AL40" s="25"/>
      <c r="AM40" s="25"/>
      <c r="AN40" s="38"/>
      <c r="AO40" s="25"/>
      <c r="AP40" s="25"/>
    </row>
    <row r="41" spans="24:42" ht="15.75"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K41" s="25"/>
      <c r="AL41" s="25"/>
      <c r="AM41" s="25"/>
      <c r="AN41" s="38"/>
      <c r="AO41" s="25"/>
      <c r="AP41" s="25"/>
    </row>
    <row r="42" spans="24:42" ht="15.75"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38"/>
      <c r="AO42" s="25"/>
      <c r="AP42" s="25"/>
    </row>
    <row r="43" spans="24:42" ht="15.75"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38"/>
      <c r="AO43" s="25"/>
      <c r="AP43" s="25"/>
    </row>
    <row r="44" spans="24:42" ht="15.75"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38"/>
      <c r="AO44" s="25"/>
      <c r="AP44" s="25"/>
    </row>
    <row r="45" spans="24:42" ht="15.75"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38"/>
      <c r="AO45" s="25"/>
      <c r="AP45" s="25"/>
    </row>
    <row r="46" spans="24:42" ht="15.75"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38"/>
      <c r="AO46" s="25"/>
      <c r="AP46" s="25"/>
    </row>
    <row r="47" spans="24:42" ht="15.75"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38"/>
      <c r="AO47" s="25"/>
      <c r="AP47" s="25"/>
    </row>
    <row r="48" spans="24:42" ht="15.75"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38"/>
      <c r="AO48" s="25"/>
      <c r="AP48" s="25"/>
    </row>
    <row r="49" spans="24:42" ht="15.75"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38"/>
      <c r="AO49" s="25"/>
      <c r="AP49" s="25"/>
    </row>
    <row r="50" spans="3:42" ht="15.75">
      <c r="C50" s="25"/>
      <c r="D50" s="25"/>
      <c r="E50" s="25"/>
      <c r="F50" s="25"/>
      <c r="G50" s="25"/>
      <c r="H50" s="25" t="e">
        <f>SUM('[1]Sheet1'!C23:D23)-AM21/1000</f>
        <v>#REF!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3:42" ht="15.7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3:42" ht="15.75">
      <c r="C52" s="25"/>
      <c r="D52" s="25"/>
      <c r="E52" s="25">
        <f>+AM9/1000-'[1]Sheet1'!C23</f>
        <v>2279.7544281719997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41:42" ht="15.75">
      <c r="AO53" s="25"/>
      <c r="AP53" s="25"/>
    </row>
    <row r="54" spans="41:42" ht="15.75">
      <c r="AO54" s="25"/>
      <c r="AP54" s="25"/>
    </row>
    <row r="55" spans="41:42" ht="15.75">
      <c r="AO55" s="25"/>
      <c r="AP55" s="25"/>
    </row>
    <row r="56" spans="41:42" ht="15.75">
      <c r="AO56" s="25"/>
      <c r="AP56" s="25"/>
    </row>
    <row r="57" spans="41:42" ht="15.75">
      <c r="AO57" s="25"/>
      <c r="AP57" s="25"/>
    </row>
    <row r="58" spans="41:42" ht="15.75">
      <c r="AO58" s="104"/>
      <c r="AP58" s="104"/>
    </row>
    <row r="59" spans="41:42" ht="15.75">
      <c r="AO59" s="104"/>
      <c r="AP59" s="104"/>
    </row>
    <row r="60" spans="41:42" ht="15.75">
      <c r="AO60" s="104"/>
      <c r="AP60" s="104"/>
    </row>
    <row r="61" spans="41:42" ht="15.75">
      <c r="AO61" s="104"/>
      <c r="AP61" s="104"/>
    </row>
    <row r="62" spans="41:42" ht="15.75">
      <c r="AO62" s="104"/>
      <c r="AP62" s="104"/>
    </row>
    <row r="63" spans="41:42" ht="15.75">
      <c r="AO63" s="104"/>
      <c r="AP63" s="104"/>
    </row>
    <row r="64" spans="41:42" ht="15.75">
      <c r="AO64" s="104"/>
      <c r="AP64" s="104"/>
    </row>
    <row r="65" spans="41:42" ht="15.75">
      <c r="AO65" s="104"/>
      <c r="AP65" s="104"/>
    </row>
  </sheetData>
  <mergeCells count="16">
    <mergeCell ref="T6:U6"/>
    <mergeCell ref="Q5:U5"/>
    <mergeCell ref="E6:F6"/>
    <mergeCell ref="C5:F5"/>
    <mergeCell ref="J6:K6"/>
    <mergeCell ref="O6:P6"/>
    <mergeCell ref="G5:K5"/>
    <mergeCell ref="L5:P5"/>
    <mergeCell ref="V5:Z5"/>
    <mergeCell ref="AA5:AE5"/>
    <mergeCell ref="AM6:AN6"/>
    <mergeCell ref="AK5:AN5"/>
    <mergeCell ref="AD6:AE6"/>
    <mergeCell ref="Y6:Z6"/>
    <mergeCell ref="AF5:AJ5"/>
    <mergeCell ref="AI6:AJ6"/>
  </mergeCells>
  <printOptions/>
  <pageMargins left="0.2" right="0.19" top="0.25" bottom="0.2" header="0.17" footer="0.17"/>
  <pageSetup fitToHeight="1" fitToWidth="1" horizontalDpi="600" verticalDpi="600" orientation="landscape" paperSize="9" scale="53" r:id="rId3"/>
  <headerFooter alignWithMargins="0">
    <oddHeader>&amp;C&amp;"Arial,Bold"&amp;14
</oddHeader>
    <oddFooter>&amp;L&amp;8AKN MTech/&amp;F,&amp;P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="6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16" sqref="O16"/>
    </sheetView>
  </sheetViews>
  <sheetFormatPr defaultColWidth="9.140625" defaultRowHeight="12.75"/>
  <cols>
    <col min="4" max="4" width="19.140625" style="0" customWidth="1"/>
    <col min="5" max="6" width="13.421875" style="0" bestFit="1" customWidth="1"/>
    <col min="7" max="7" width="12.28125" style="0" bestFit="1" customWidth="1"/>
    <col min="8" max="8" width="13.00390625" style="0" bestFit="1" customWidth="1"/>
    <col min="9" max="9" width="13.421875" style="0" bestFit="1" customWidth="1"/>
    <col min="10" max="10" width="13.00390625" style="0" bestFit="1" customWidth="1"/>
    <col min="11" max="11" width="11.28125" style="0" bestFit="1" customWidth="1"/>
    <col min="12" max="12" width="14.00390625" style="29" customWidth="1"/>
    <col min="13" max="15" width="13.00390625" style="29" bestFit="1" customWidth="1"/>
    <col min="16" max="16" width="16.8515625" style="0" bestFit="1" customWidth="1"/>
    <col min="17" max="17" width="13.421875" style="0" bestFit="1" customWidth="1"/>
    <col min="18" max="18" width="13.421875" style="35" bestFit="1" customWidth="1"/>
    <col min="19" max="19" width="13.421875" style="35" customWidth="1"/>
    <col min="20" max="20" width="13.00390625" style="106" bestFit="1" customWidth="1"/>
    <col min="21" max="21" width="12.7109375" style="106" bestFit="1" customWidth="1"/>
    <col min="22" max="22" width="13.28125" style="0" bestFit="1" customWidth="1"/>
  </cols>
  <sheetData>
    <row r="1" spans="1:5" ht="15.75">
      <c r="A1" s="34" t="s">
        <v>31</v>
      </c>
      <c r="B1" s="34"/>
      <c r="C1" s="34"/>
      <c r="D1" s="34"/>
      <c r="E1" s="34"/>
    </row>
    <row r="2" spans="1:5" ht="15.75">
      <c r="A2" s="34" t="s">
        <v>115</v>
      </c>
      <c r="B2" s="35"/>
      <c r="C2" s="35"/>
      <c r="D2" s="35"/>
      <c r="E2" s="38"/>
    </row>
    <row r="3" spans="1:5" ht="15.75">
      <c r="A3" s="35"/>
      <c r="B3" s="35"/>
      <c r="C3" s="35"/>
      <c r="D3" s="35"/>
      <c r="E3" s="38"/>
    </row>
    <row r="4" spans="1:5" ht="15.75">
      <c r="A4" s="35"/>
      <c r="B4" s="35"/>
      <c r="C4" s="35"/>
      <c r="D4" s="35"/>
      <c r="E4" s="38"/>
    </row>
    <row r="5" spans="1:5" ht="15.75">
      <c r="A5" s="35"/>
      <c r="B5" s="35"/>
      <c r="C5" s="35"/>
      <c r="D5" s="35"/>
      <c r="E5" s="38"/>
    </row>
    <row r="6" spans="1:21" ht="15.75">
      <c r="A6" s="35"/>
      <c r="B6" s="35"/>
      <c r="C6" s="35"/>
      <c r="D6" s="35"/>
      <c r="E6" s="33"/>
      <c r="F6">
        <v>0.092</v>
      </c>
      <c r="I6">
        <v>2.2315</v>
      </c>
      <c r="J6">
        <v>0.0632</v>
      </c>
      <c r="M6" s="29">
        <v>0.4875</v>
      </c>
      <c r="O6" s="107">
        <v>0.468</v>
      </c>
      <c r="Q6">
        <v>0.000385</v>
      </c>
      <c r="S6" s="108" t="s">
        <v>116</v>
      </c>
      <c r="T6" s="108" t="s">
        <v>117</v>
      </c>
      <c r="U6" s="108" t="s">
        <v>118</v>
      </c>
    </row>
    <row r="7" spans="1:21" s="105" customFormat="1" ht="16.5" thickBot="1">
      <c r="A7" s="35"/>
      <c r="B7" s="35"/>
      <c r="C7" s="35"/>
      <c r="D7" s="35"/>
      <c r="E7" s="109" t="s">
        <v>99</v>
      </c>
      <c r="F7" s="186" t="s">
        <v>119</v>
      </c>
      <c r="G7" s="186"/>
      <c r="H7" s="186" t="s">
        <v>120</v>
      </c>
      <c r="I7" s="186"/>
      <c r="J7" s="186" t="s">
        <v>121</v>
      </c>
      <c r="K7" s="186"/>
      <c r="L7" s="187" t="s">
        <v>122</v>
      </c>
      <c r="M7" s="187"/>
      <c r="N7" s="187" t="s">
        <v>123</v>
      </c>
      <c r="O7" s="187"/>
      <c r="P7" s="186" t="s">
        <v>101</v>
      </c>
      <c r="Q7" s="186"/>
      <c r="R7" s="110" t="s">
        <v>11</v>
      </c>
      <c r="S7" s="111"/>
      <c r="T7" s="111" t="s">
        <v>124</v>
      </c>
      <c r="U7" s="111" t="s">
        <v>125</v>
      </c>
    </row>
    <row r="8" spans="1:21" ht="15.75">
      <c r="A8" s="35"/>
      <c r="B8" s="35"/>
      <c r="C8" s="35"/>
      <c r="D8" s="35"/>
      <c r="E8" s="112" t="s">
        <v>92</v>
      </c>
      <c r="F8" s="112" t="s">
        <v>126</v>
      </c>
      <c r="G8" s="112" t="s">
        <v>92</v>
      </c>
      <c r="H8" s="112" t="s">
        <v>106</v>
      </c>
      <c r="I8" s="112" t="s">
        <v>92</v>
      </c>
      <c r="J8" s="113" t="s">
        <v>109</v>
      </c>
      <c r="K8" s="113" t="s">
        <v>92</v>
      </c>
      <c r="L8" s="114" t="s">
        <v>110</v>
      </c>
      <c r="M8" s="114" t="s">
        <v>92</v>
      </c>
      <c r="N8" s="115" t="s">
        <v>111</v>
      </c>
      <c r="O8" s="115" t="s">
        <v>92</v>
      </c>
      <c r="P8" s="116" t="s">
        <v>112</v>
      </c>
      <c r="Q8" s="116" t="s">
        <v>92</v>
      </c>
      <c r="R8" s="117" t="s">
        <v>92</v>
      </c>
      <c r="S8" s="118"/>
      <c r="T8" s="118" t="s">
        <v>127</v>
      </c>
      <c r="U8" s="118" t="s">
        <v>92</v>
      </c>
    </row>
    <row r="9" spans="1:17" ht="15.75">
      <c r="A9" s="35"/>
      <c r="B9" s="35"/>
      <c r="C9" s="35"/>
      <c r="D9" s="35"/>
      <c r="E9" s="38"/>
      <c r="F9" s="35"/>
      <c r="G9" s="38"/>
      <c r="H9" s="25"/>
      <c r="I9" s="25"/>
      <c r="J9" s="119"/>
      <c r="K9" s="119"/>
      <c r="L9" s="120"/>
      <c r="M9" s="120"/>
      <c r="N9" s="121"/>
      <c r="O9" s="120"/>
      <c r="P9" s="35"/>
      <c r="Q9" s="38"/>
    </row>
    <row r="10" spans="1:17" ht="15.75">
      <c r="A10" s="32" t="s">
        <v>56</v>
      </c>
      <c r="B10" s="35"/>
      <c r="C10" s="35"/>
      <c r="D10" s="35"/>
      <c r="E10" s="38"/>
      <c r="F10" s="25"/>
      <c r="G10" s="24"/>
      <c r="H10" s="25"/>
      <c r="I10" s="143"/>
      <c r="J10" s="35"/>
      <c r="K10" s="25"/>
      <c r="L10" s="16"/>
      <c r="M10" s="16"/>
      <c r="N10" s="17"/>
      <c r="O10" s="19"/>
      <c r="P10" s="35"/>
      <c r="Q10" s="38"/>
    </row>
    <row r="11" spans="1:21" ht="15.75">
      <c r="A11" s="32" t="s">
        <v>54</v>
      </c>
      <c r="B11" s="35"/>
      <c r="C11" s="35"/>
      <c r="D11" s="35"/>
      <c r="E11" s="24">
        <v>6449447</v>
      </c>
      <c r="F11" s="25">
        <v>5720339</v>
      </c>
      <c r="G11" s="24">
        <f>F11*F6</f>
        <v>526271.188</v>
      </c>
      <c r="H11" s="25">
        <v>12158</v>
      </c>
      <c r="I11" s="25">
        <v>27695</v>
      </c>
      <c r="J11" s="25">
        <v>2215382</v>
      </c>
      <c r="K11" s="25">
        <f>J11*J6</f>
        <v>140012.1424</v>
      </c>
      <c r="L11" s="16">
        <v>1590642</v>
      </c>
      <c r="M11" s="16">
        <f>L11*M6</f>
        <v>775437.975</v>
      </c>
      <c r="N11" s="16">
        <v>395189</v>
      </c>
      <c r="O11" s="18">
        <f>N11*O6</f>
        <v>184948.45200000002</v>
      </c>
      <c r="P11" s="25">
        <v>718890079</v>
      </c>
      <c r="Q11" s="24">
        <f>P11*Q6</f>
        <v>276772.680415</v>
      </c>
      <c r="R11" s="70">
        <f aca="true" t="shared" si="0" ref="R11:R17">Q11+O11+M11+K11+I11+G11+E11</f>
        <v>8380584.437814999</v>
      </c>
      <c r="S11" s="70"/>
      <c r="T11" s="106">
        <v>-344711</v>
      </c>
      <c r="U11" s="106">
        <f aca="true" t="shared" si="1" ref="U11:U19">+R11+T11+S11</f>
        <v>8035873.437814999</v>
      </c>
    </row>
    <row r="12" spans="1:21" ht="15.75">
      <c r="A12" s="32" t="s">
        <v>55</v>
      </c>
      <c r="B12" s="35"/>
      <c r="C12" s="35"/>
      <c r="D12" s="35"/>
      <c r="E12" s="24">
        <v>964415</v>
      </c>
      <c r="F12" s="25">
        <v>0</v>
      </c>
      <c r="G12" s="24">
        <f>F12*F6</f>
        <v>0</v>
      </c>
      <c r="H12" s="25">
        <v>0</v>
      </c>
      <c r="I12" s="25">
        <f>H12*I6</f>
        <v>0</v>
      </c>
      <c r="J12" s="25">
        <v>0</v>
      </c>
      <c r="K12" s="25">
        <f>J12*J6</f>
        <v>0</v>
      </c>
      <c r="L12" s="16">
        <v>702390</v>
      </c>
      <c r="M12" s="16">
        <f>L12*M6</f>
        <v>342415.125</v>
      </c>
      <c r="N12" s="16">
        <v>0</v>
      </c>
      <c r="O12" s="18">
        <f>N12*O6</f>
        <v>0</v>
      </c>
      <c r="P12" s="25">
        <v>0</v>
      </c>
      <c r="Q12" s="24">
        <f>P12*Q6</f>
        <v>0</v>
      </c>
      <c r="R12" s="70">
        <f t="shared" si="0"/>
        <v>1306830.125</v>
      </c>
      <c r="S12" s="70"/>
      <c r="U12" s="106">
        <f t="shared" si="1"/>
        <v>1306830.125</v>
      </c>
    </row>
    <row r="13" spans="1:21" ht="15.75">
      <c r="A13" s="32" t="s">
        <v>128</v>
      </c>
      <c r="B13" s="35"/>
      <c r="C13" s="35"/>
      <c r="D13" s="35"/>
      <c r="E13" s="24">
        <v>32240701</v>
      </c>
      <c r="F13" s="25">
        <v>0</v>
      </c>
      <c r="G13" s="24">
        <f>F13*F6</f>
        <v>0</v>
      </c>
      <c r="H13" s="25">
        <v>0</v>
      </c>
      <c r="I13" s="25">
        <f>H13*I6</f>
        <v>0</v>
      </c>
      <c r="J13" s="25">
        <v>0</v>
      </c>
      <c r="K13" s="25">
        <f>J13*J6</f>
        <v>0</v>
      </c>
      <c r="L13" s="16">
        <v>401650</v>
      </c>
      <c r="M13" s="16">
        <v>195162</v>
      </c>
      <c r="N13" s="16">
        <v>0</v>
      </c>
      <c r="O13" s="18">
        <f>N13*O6</f>
        <v>0</v>
      </c>
      <c r="P13" s="25">
        <v>0</v>
      </c>
      <c r="Q13" s="24">
        <f>P13*Q6</f>
        <v>0</v>
      </c>
      <c r="R13" s="70">
        <f t="shared" si="0"/>
        <v>32435863</v>
      </c>
      <c r="S13" s="70">
        <v>-452731</v>
      </c>
      <c r="T13" s="106">
        <v>-31983132</v>
      </c>
      <c r="U13" s="106">
        <f t="shared" si="1"/>
        <v>0</v>
      </c>
    </row>
    <row r="14" spans="1:21" ht="15.75">
      <c r="A14" s="32" t="s">
        <v>129</v>
      </c>
      <c r="B14" s="35"/>
      <c r="C14" s="35"/>
      <c r="D14" s="35"/>
      <c r="E14" s="24">
        <v>0</v>
      </c>
      <c r="F14" s="25">
        <v>0</v>
      </c>
      <c r="G14" s="24">
        <f>F14*F6</f>
        <v>0</v>
      </c>
      <c r="H14" s="25">
        <v>0</v>
      </c>
      <c r="I14" s="25"/>
      <c r="J14" s="25">
        <v>0</v>
      </c>
      <c r="K14" s="25">
        <f>J14*J6</f>
        <v>0</v>
      </c>
      <c r="L14" s="16">
        <v>0</v>
      </c>
      <c r="M14" s="16"/>
      <c r="N14" s="16">
        <v>0</v>
      </c>
      <c r="O14" s="18"/>
      <c r="P14" s="25">
        <v>0</v>
      </c>
      <c r="Q14" s="24">
        <f>P14*Q6</f>
        <v>0</v>
      </c>
      <c r="R14" s="70">
        <f t="shared" si="0"/>
        <v>0</v>
      </c>
      <c r="S14" s="70"/>
      <c r="U14" s="106">
        <f t="shared" si="1"/>
        <v>0</v>
      </c>
    </row>
    <row r="15" spans="1:21" ht="15.75">
      <c r="A15" s="32" t="s">
        <v>130</v>
      </c>
      <c r="B15" s="35"/>
      <c r="C15" s="35"/>
      <c r="D15" s="35"/>
      <c r="E15" s="24">
        <v>4629594</v>
      </c>
      <c r="F15" s="25">
        <v>0</v>
      </c>
      <c r="G15" s="24">
        <f>F15*F6</f>
        <v>0</v>
      </c>
      <c r="H15" s="25">
        <v>0</v>
      </c>
      <c r="I15" s="25"/>
      <c r="J15" s="25">
        <v>0</v>
      </c>
      <c r="K15" s="25"/>
      <c r="L15" s="16">
        <v>3580530</v>
      </c>
      <c r="M15" s="16">
        <f>L15*M6</f>
        <v>1745508.375</v>
      </c>
      <c r="N15" s="16">
        <v>0</v>
      </c>
      <c r="O15" s="18"/>
      <c r="P15" s="25">
        <v>0</v>
      </c>
      <c r="Q15" s="24"/>
      <c r="R15" s="70">
        <f t="shared" si="0"/>
        <v>6375102.375</v>
      </c>
      <c r="S15" s="70">
        <v>165618</v>
      </c>
      <c r="U15" s="106">
        <f t="shared" si="1"/>
        <v>6540720.375</v>
      </c>
    </row>
    <row r="16" spans="1:21" ht="15.75">
      <c r="A16" s="32" t="s">
        <v>131</v>
      </c>
      <c r="B16" s="35"/>
      <c r="C16" s="35"/>
      <c r="D16" s="35"/>
      <c r="E16" s="24">
        <v>0</v>
      </c>
      <c r="F16" s="25">
        <v>0</v>
      </c>
      <c r="G16" s="24">
        <f>F16*F6</f>
        <v>0</v>
      </c>
      <c r="H16" s="25">
        <v>0</v>
      </c>
      <c r="I16" s="25"/>
      <c r="J16" s="25">
        <v>0</v>
      </c>
      <c r="K16" s="25">
        <f>J16*J6</f>
        <v>0</v>
      </c>
      <c r="L16" s="16">
        <v>0</v>
      </c>
      <c r="M16" s="16">
        <f>L16*M6</f>
        <v>0</v>
      </c>
      <c r="N16" s="16">
        <v>0</v>
      </c>
      <c r="O16" s="18">
        <f>N16*O6</f>
        <v>0</v>
      </c>
      <c r="P16" s="25"/>
      <c r="Q16" s="24">
        <f>P16*Q6</f>
        <v>0</v>
      </c>
      <c r="R16" s="70">
        <f t="shared" si="0"/>
        <v>0</v>
      </c>
      <c r="S16" s="70"/>
      <c r="T16" s="106">
        <v>-30645</v>
      </c>
      <c r="U16" s="106">
        <f t="shared" si="1"/>
        <v>-30645</v>
      </c>
    </row>
    <row r="17" spans="1:21" ht="15.75">
      <c r="A17" s="32" t="s">
        <v>132</v>
      </c>
      <c r="B17" s="35"/>
      <c r="C17" s="35"/>
      <c r="D17" s="35"/>
      <c r="E17" s="24">
        <v>0</v>
      </c>
      <c r="F17" s="25">
        <v>-212085</v>
      </c>
      <c r="G17" s="24">
        <f>F17*F6</f>
        <v>-19511.82</v>
      </c>
      <c r="H17" s="25">
        <v>-404593</v>
      </c>
      <c r="I17" s="25">
        <v>-921583</v>
      </c>
      <c r="J17" s="25">
        <v>-6250518</v>
      </c>
      <c r="K17" s="25">
        <f>J17*J6</f>
        <v>-395032.73760000005</v>
      </c>
      <c r="L17" s="16">
        <v>-5887310</v>
      </c>
      <c r="M17" s="16">
        <f>L17*M6</f>
        <v>-2870063.625</v>
      </c>
      <c r="N17" s="16">
        <v>-4292947</v>
      </c>
      <c r="O17" s="18">
        <f>N17*O6</f>
        <v>-2009099.1960000002</v>
      </c>
      <c r="P17" s="25">
        <v>-765674213</v>
      </c>
      <c r="Q17" s="24">
        <f>P17*Q6</f>
        <v>-294784.57200499997</v>
      </c>
      <c r="R17" s="70">
        <f t="shared" si="0"/>
        <v>-6510074.950605</v>
      </c>
      <c r="S17" s="70"/>
      <c r="U17" s="106">
        <f t="shared" si="1"/>
        <v>-6510074.950605</v>
      </c>
    </row>
    <row r="18" spans="1:21" ht="15.75">
      <c r="A18" s="32" t="s">
        <v>133</v>
      </c>
      <c r="B18" s="35"/>
      <c r="C18" s="35"/>
      <c r="D18" s="35"/>
      <c r="E18" s="24">
        <v>0</v>
      </c>
      <c r="F18" s="25">
        <v>0</v>
      </c>
      <c r="G18" s="24">
        <f>F18*F6</f>
        <v>0</v>
      </c>
      <c r="H18" s="25">
        <v>0</v>
      </c>
      <c r="I18" s="25"/>
      <c r="J18" s="25"/>
      <c r="K18" s="25"/>
      <c r="L18" s="16">
        <v>0</v>
      </c>
      <c r="M18" s="16"/>
      <c r="N18" s="16">
        <v>0</v>
      </c>
      <c r="O18" s="18">
        <f>N18*O6</f>
        <v>0</v>
      </c>
      <c r="P18" s="25">
        <v>0</v>
      </c>
      <c r="Q18" s="24"/>
      <c r="R18" s="70">
        <f>Q18+O18+M18+K18+I18+G18+E18</f>
        <v>0</v>
      </c>
      <c r="S18" s="70"/>
      <c r="T18" s="106">
        <v>10073152</v>
      </c>
      <c r="U18" s="106">
        <f t="shared" si="1"/>
        <v>10073152</v>
      </c>
    </row>
    <row r="19" spans="1:21" ht="15.75">
      <c r="A19" s="32" t="s">
        <v>134</v>
      </c>
      <c r="B19" s="35"/>
      <c r="C19" s="35"/>
      <c r="D19" s="35"/>
      <c r="E19" s="24">
        <v>0</v>
      </c>
      <c r="F19" s="25">
        <v>0</v>
      </c>
      <c r="G19" s="24">
        <f>F19*F6</f>
        <v>0</v>
      </c>
      <c r="H19" s="25">
        <v>0</v>
      </c>
      <c r="I19" s="25">
        <f>H19*I6</f>
        <v>0</v>
      </c>
      <c r="J19" s="25"/>
      <c r="K19" s="25">
        <f>J19*J6</f>
        <v>0</v>
      </c>
      <c r="L19" s="16">
        <v>0</v>
      </c>
      <c r="M19" s="16"/>
      <c r="N19" s="16">
        <v>0</v>
      </c>
      <c r="O19" s="18">
        <f>N19*O6</f>
        <v>0</v>
      </c>
      <c r="P19" s="25">
        <v>0</v>
      </c>
      <c r="Q19" s="24">
        <f>P19*Q6</f>
        <v>0</v>
      </c>
      <c r="R19" s="122">
        <f>Q19+O19+M19+K19+I19+G19+E19</f>
        <v>0</v>
      </c>
      <c r="S19" s="60"/>
      <c r="U19" s="123">
        <f t="shared" si="1"/>
        <v>0</v>
      </c>
    </row>
    <row r="20" spans="1:21" ht="15.75">
      <c r="A20" s="32"/>
      <c r="B20" s="35"/>
      <c r="C20" s="35"/>
      <c r="D20" s="35"/>
      <c r="E20" s="75">
        <f>SUM(E11:E19)</f>
        <v>44284157</v>
      </c>
      <c r="F20" s="75">
        <f>SUM(F11:F19)</f>
        <v>5508254</v>
      </c>
      <c r="G20" s="75">
        <f>SUM(G11:G19)</f>
        <v>506759.36799999996</v>
      </c>
      <c r="H20" s="75">
        <f>SUM(H11:H19)</f>
        <v>-392435</v>
      </c>
      <c r="I20" s="75">
        <f>SUM(I10:I19)</f>
        <v>-893888</v>
      </c>
      <c r="J20" s="75">
        <f aca="true" t="shared" si="2" ref="J20:Q20">SUM(J11:J19)</f>
        <v>-4035136</v>
      </c>
      <c r="K20" s="75">
        <f t="shared" si="2"/>
        <v>-255020.59520000004</v>
      </c>
      <c r="L20" s="124">
        <f t="shared" si="2"/>
        <v>387902</v>
      </c>
      <c r="M20" s="124">
        <f t="shared" si="2"/>
        <v>188459.8500000001</v>
      </c>
      <c r="N20" s="124">
        <f t="shared" si="2"/>
        <v>-3897758</v>
      </c>
      <c r="O20" s="124">
        <f t="shared" si="2"/>
        <v>-1824150.7440000002</v>
      </c>
      <c r="P20" s="75">
        <f t="shared" si="2"/>
        <v>-46784134</v>
      </c>
      <c r="Q20" s="75">
        <f t="shared" si="2"/>
        <v>-18011.891589999956</v>
      </c>
      <c r="R20" s="70">
        <f>Q20+O20+M20+K20+I20+G20+E20</f>
        <v>41988304.98721</v>
      </c>
      <c r="S20" s="70"/>
      <c r="U20" s="106">
        <f>SUM(U11:U19)</f>
        <v>19415855.987209998</v>
      </c>
    </row>
    <row r="21" spans="1:17" ht="15.75">
      <c r="A21" s="32"/>
      <c r="B21" s="35"/>
      <c r="C21" s="35"/>
      <c r="D21" s="35"/>
      <c r="E21" s="24"/>
      <c r="F21" s="25"/>
      <c r="G21" s="24"/>
      <c r="H21" s="25"/>
      <c r="I21" s="25"/>
      <c r="J21" s="25"/>
      <c r="K21" s="25"/>
      <c r="L21" s="16"/>
      <c r="M21" s="16"/>
      <c r="N21" s="16"/>
      <c r="O21" s="18"/>
      <c r="P21" s="25"/>
      <c r="Q21" s="24"/>
    </row>
    <row r="22" spans="1:17" ht="15.75">
      <c r="A22" s="32" t="s">
        <v>3</v>
      </c>
      <c r="B22" s="35"/>
      <c r="C22" s="35"/>
      <c r="D22" s="35"/>
      <c r="E22" s="24"/>
      <c r="F22" s="25"/>
      <c r="G22" s="24"/>
      <c r="H22" s="25"/>
      <c r="I22" s="25"/>
      <c r="J22" s="25"/>
      <c r="K22" s="25"/>
      <c r="L22" s="16"/>
      <c r="M22" s="16"/>
      <c r="N22" s="16"/>
      <c r="O22" s="18"/>
      <c r="P22" s="25"/>
      <c r="Q22" s="24"/>
    </row>
    <row r="23" spans="1:21" ht="15.75">
      <c r="A23" s="32" t="s">
        <v>34</v>
      </c>
      <c r="B23" s="35"/>
      <c r="C23" s="35"/>
      <c r="D23" s="35"/>
      <c r="E23" s="18">
        <f>12877316.13+58000</f>
        <v>12935316.13</v>
      </c>
      <c r="F23" s="25">
        <v>18779083</v>
      </c>
      <c r="G23" s="24">
        <f>F23*F6</f>
        <v>1727675.636</v>
      </c>
      <c r="H23" s="25">
        <v>20079</v>
      </c>
      <c r="I23" s="25">
        <v>45737</v>
      </c>
      <c r="J23" s="25">
        <v>2470235</v>
      </c>
      <c r="K23" s="25">
        <f>J23*J6</f>
        <v>156118.852</v>
      </c>
      <c r="L23" s="16">
        <v>2144125</v>
      </c>
      <c r="M23" s="16">
        <f>L23*M6</f>
        <v>1045260.9375</v>
      </c>
      <c r="N23" s="16">
        <v>2578728</v>
      </c>
      <c r="O23" s="18">
        <f>N23*O6</f>
        <v>1206844.7040000001</v>
      </c>
      <c r="P23" s="132">
        <v>5415258421</v>
      </c>
      <c r="Q23" s="137">
        <f>P23*Q6</f>
        <v>2084874.4920849998</v>
      </c>
      <c r="R23" s="70">
        <f>Q23+O23+M23+K23+I23+G23+E23</f>
        <v>19201827.751585</v>
      </c>
      <c r="S23" s="70"/>
      <c r="U23" s="125">
        <f>+R23+T23+S23</f>
        <v>19201827.751585</v>
      </c>
    </row>
    <row r="24" spans="1:21" ht="15.75">
      <c r="A24" s="32" t="s">
        <v>35</v>
      </c>
      <c r="B24" s="35"/>
      <c r="C24" s="35"/>
      <c r="D24" s="35"/>
      <c r="E24" s="18">
        <v>98280</v>
      </c>
      <c r="F24" s="25">
        <v>3816703</v>
      </c>
      <c r="G24" s="24">
        <f>F24*F6</f>
        <v>351136.676</v>
      </c>
      <c r="H24" s="25">
        <v>34321</v>
      </c>
      <c r="I24" s="25">
        <v>78176</v>
      </c>
      <c r="J24" s="25">
        <v>654383</v>
      </c>
      <c r="K24" s="25">
        <f>J24*J6</f>
        <v>41357.005600000004</v>
      </c>
      <c r="L24" s="16">
        <v>489089</v>
      </c>
      <c r="M24" s="16">
        <f>L24*M6</f>
        <v>238430.88749999998</v>
      </c>
      <c r="N24" s="16">
        <v>88563</v>
      </c>
      <c r="O24" s="18">
        <f>N24*O6</f>
        <v>41447.484000000004</v>
      </c>
      <c r="P24" s="25">
        <v>476838265</v>
      </c>
      <c r="Q24" s="24">
        <f>P24*Q6</f>
        <v>183582.732025</v>
      </c>
      <c r="R24" s="70">
        <f>Q24+O24+M24+K24+I24+G24+E24</f>
        <v>1032410.7851249999</v>
      </c>
      <c r="S24" s="70">
        <f>7810+800</f>
        <v>8610</v>
      </c>
      <c r="U24" s="125">
        <f>+R24+T24+S24</f>
        <v>1041020.7851249999</v>
      </c>
    </row>
    <row r="25" spans="1:21" ht="15.75">
      <c r="A25" s="32" t="s">
        <v>40</v>
      </c>
      <c r="B25" s="35"/>
      <c r="C25" s="35"/>
      <c r="D25" s="35"/>
      <c r="E25" s="18">
        <v>6715270</v>
      </c>
      <c r="F25" s="25">
        <v>18101721</v>
      </c>
      <c r="G25" s="24">
        <f>F25*F6</f>
        <v>1665358.332</v>
      </c>
      <c r="H25" s="25">
        <v>17795</v>
      </c>
      <c r="I25" s="25">
        <v>40533</v>
      </c>
      <c r="J25" s="25">
        <v>3594215</v>
      </c>
      <c r="K25" s="25">
        <f>J25*J6</f>
        <v>227154.38800000004</v>
      </c>
      <c r="L25" s="16">
        <v>4547394</v>
      </c>
      <c r="M25" s="16">
        <f>L25*M6</f>
        <v>2216854.5749999997</v>
      </c>
      <c r="N25" s="16">
        <v>851787</v>
      </c>
      <c r="O25" s="18">
        <f>N25*O6</f>
        <v>398636.31600000005</v>
      </c>
      <c r="P25" s="25">
        <v>1260398760</v>
      </c>
      <c r="Q25" s="24">
        <f>P25*Q6</f>
        <v>485253.52259999997</v>
      </c>
      <c r="R25" s="122">
        <f>Q25+O25+M25+K25+I25+G25+E25</f>
        <v>11749060.1336</v>
      </c>
      <c r="S25" s="60"/>
      <c r="U25" s="123">
        <f>+R25+T25+S25</f>
        <v>11749060.1336</v>
      </c>
    </row>
    <row r="26" spans="1:21" ht="15.75">
      <c r="A26" s="32"/>
      <c r="B26" s="35"/>
      <c r="C26" s="35"/>
      <c r="D26" s="35"/>
      <c r="E26" s="75">
        <f aca="true" t="shared" si="3" ref="E26:Q26">SUM(E23:E25)</f>
        <v>19748866.130000003</v>
      </c>
      <c r="F26" s="75">
        <f t="shared" si="3"/>
        <v>40697507</v>
      </c>
      <c r="G26" s="75">
        <f t="shared" si="3"/>
        <v>3744170.644</v>
      </c>
      <c r="H26" s="75">
        <f t="shared" si="3"/>
        <v>72195</v>
      </c>
      <c r="I26" s="75">
        <f t="shared" si="3"/>
        <v>164446</v>
      </c>
      <c r="J26" s="75">
        <f t="shared" si="3"/>
        <v>6718833</v>
      </c>
      <c r="K26" s="75">
        <f t="shared" si="3"/>
        <v>424630.2456</v>
      </c>
      <c r="L26" s="124">
        <f t="shared" si="3"/>
        <v>7180608</v>
      </c>
      <c r="M26" s="124">
        <f t="shared" si="3"/>
        <v>3500546.3999999994</v>
      </c>
      <c r="N26" s="124">
        <f t="shared" si="3"/>
        <v>3519078</v>
      </c>
      <c r="O26" s="124">
        <f t="shared" si="3"/>
        <v>1646928.5040000002</v>
      </c>
      <c r="P26" s="75">
        <f t="shared" si="3"/>
        <v>7152495446</v>
      </c>
      <c r="Q26" s="75">
        <f t="shared" si="3"/>
        <v>2753710.7467099996</v>
      </c>
      <c r="R26" s="70">
        <f>Q26+O26+M26+K26+I26+G26+E26</f>
        <v>31983298.670309998</v>
      </c>
      <c r="S26" s="70"/>
      <c r="U26" s="106">
        <f>SUM(U23:U25)</f>
        <v>31991908.670309998</v>
      </c>
    </row>
    <row r="27" spans="1:17" ht="15.75">
      <c r="A27" s="32"/>
      <c r="B27" s="35"/>
      <c r="C27" s="35"/>
      <c r="D27" s="35"/>
      <c r="E27" s="24"/>
      <c r="F27" s="25"/>
      <c r="G27" s="24"/>
      <c r="H27" s="25"/>
      <c r="I27" s="25"/>
      <c r="J27" s="25"/>
      <c r="K27" s="25"/>
      <c r="L27" s="16"/>
      <c r="M27" s="16"/>
      <c r="N27" s="16"/>
      <c r="O27" s="18"/>
      <c r="P27" s="25"/>
      <c r="Q27" s="24"/>
    </row>
    <row r="28" spans="1:17" ht="15.75">
      <c r="A28" s="32" t="s">
        <v>4</v>
      </c>
      <c r="B28" s="35"/>
      <c r="C28" s="35"/>
      <c r="D28" s="35"/>
      <c r="E28" s="24"/>
      <c r="F28" s="25"/>
      <c r="G28" s="24"/>
      <c r="H28" s="25"/>
      <c r="I28" s="25"/>
      <c r="J28" s="25"/>
      <c r="K28" s="25"/>
      <c r="L28" s="16"/>
      <c r="M28" s="16"/>
      <c r="N28" s="16"/>
      <c r="O28" s="18"/>
      <c r="P28" s="25"/>
      <c r="Q28" s="24"/>
    </row>
    <row r="29" spans="1:21" ht="15.75">
      <c r="A29" s="32" t="s">
        <v>135</v>
      </c>
      <c r="B29" s="35"/>
      <c r="C29" s="35"/>
      <c r="D29" s="35"/>
      <c r="E29" s="24">
        <v>0</v>
      </c>
      <c r="F29" s="25">
        <v>0</v>
      </c>
      <c r="G29" s="24">
        <f>F29*F6</f>
        <v>0</v>
      </c>
      <c r="H29" s="25">
        <v>0</v>
      </c>
      <c r="I29" s="25">
        <v>0</v>
      </c>
      <c r="J29" s="25">
        <f>641721-J50</f>
        <v>262932</v>
      </c>
      <c r="K29" s="25">
        <f>J29*J6</f>
        <v>16617.3024</v>
      </c>
      <c r="L29" s="16">
        <v>0</v>
      </c>
      <c r="M29" s="16"/>
      <c r="N29" s="16">
        <v>0</v>
      </c>
      <c r="O29" s="18">
        <f>N29*O6</f>
        <v>0</v>
      </c>
      <c r="P29" s="16">
        <v>0</v>
      </c>
      <c r="Q29" s="24">
        <v>0</v>
      </c>
      <c r="R29" s="70">
        <f aca="true" t="shared" si="4" ref="R29:R34">Q29+O29+M29+K29+I29+G29+E29</f>
        <v>16617.3024</v>
      </c>
      <c r="S29" s="70"/>
      <c r="U29" s="125">
        <f>+R29+T29+S29</f>
        <v>16617.3024</v>
      </c>
    </row>
    <row r="30" spans="1:21" ht="15.75">
      <c r="A30" s="32" t="s">
        <v>41</v>
      </c>
      <c r="B30" s="35"/>
      <c r="C30" s="35"/>
      <c r="D30" s="35"/>
      <c r="E30" s="24">
        <v>1420995</v>
      </c>
      <c r="F30" s="25">
        <v>0</v>
      </c>
      <c r="G30" s="24">
        <f>F30*F6</f>
        <v>0</v>
      </c>
      <c r="H30" s="25">
        <v>270</v>
      </c>
      <c r="I30" s="25">
        <v>614</v>
      </c>
      <c r="J30" s="25">
        <v>0</v>
      </c>
      <c r="K30" s="25">
        <f>J30*J6</f>
        <v>0</v>
      </c>
      <c r="L30" s="16">
        <v>1223051</v>
      </c>
      <c r="M30" s="16">
        <f>L30*M6</f>
        <v>596237.3624999999</v>
      </c>
      <c r="N30" s="16">
        <v>0</v>
      </c>
      <c r="O30" s="18"/>
      <c r="P30" s="16">
        <v>1134085821</v>
      </c>
      <c r="Q30" s="24">
        <f>P30*Q6</f>
        <v>436623.041085</v>
      </c>
      <c r="R30" s="70">
        <f t="shared" si="4"/>
        <v>2454469.403585</v>
      </c>
      <c r="S30" s="70"/>
      <c r="U30" s="125">
        <f>+R30+T30+S30</f>
        <v>2454469.403585</v>
      </c>
    </row>
    <row r="31" spans="1:21" ht="15.75">
      <c r="A31" s="32" t="s">
        <v>42</v>
      </c>
      <c r="B31" s="35"/>
      <c r="C31" s="35"/>
      <c r="D31" s="35"/>
      <c r="E31" s="18">
        <v>1243592</v>
      </c>
      <c r="F31" s="25">
        <v>5945127</v>
      </c>
      <c r="G31" s="24">
        <f>F31*F6</f>
        <v>546951.684</v>
      </c>
      <c r="H31" s="25">
        <v>14711</v>
      </c>
      <c r="I31" s="25">
        <v>33508</v>
      </c>
      <c r="J31" s="25">
        <v>94962</v>
      </c>
      <c r="K31" s="25">
        <f>J31*J6</f>
        <v>6001.598400000001</v>
      </c>
      <c r="L31" s="16">
        <v>1932271</v>
      </c>
      <c r="M31" s="16">
        <f>L31*M6</f>
        <v>941982.1124999999</v>
      </c>
      <c r="N31" s="16">
        <v>392035</v>
      </c>
      <c r="O31" s="18">
        <f>N31*O6</f>
        <v>183472.38</v>
      </c>
      <c r="P31" s="16">
        <v>297741826</v>
      </c>
      <c r="Q31" s="24">
        <f>P31*Q6</f>
        <v>114630.60300999999</v>
      </c>
      <c r="R31" s="70">
        <f t="shared" si="4"/>
        <v>3070138.37791</v>
      </c>
      <c r="S31" s="70">
        <v>165618</v>
      </c>
      <c r="U31" s="125">
        <f>+R31+T31+S31</f>
        <v>3235756.37791</v>
      </c>
    </row>
    <row r="32" spans="1:21" ht="15.75">
      <c r="A32" s="32" t="s">
        <v>38</v>
      </c>
      <c r="B32" s="35"/>
      <c r="C32" s="35"/>
      <c r="D32" s="35"/>
      <c r="E32" s="24">
        <v>0</v>
      </c>
      <c r="F32" s="25">
        <v>1578190</v>
      </c>
      <c r="G32" s="24">
        <f>F32*F6</f>
        <v>145193.48</v>
      </c>
      <c r="H32" s="25">
        <v>0</v>
      </c>
      <c r="I32" s="25">
        <v>0</v>
      </c>
      <c r="J32" s="25">
        <v>0</v>
      </c>
      <c r="K32" s="25">
        <f>J32*J6</f>
        <v>0</v>
      </c>
      <c r="L32" s="16">
        <v>0</v>
      </c>
      <c r="M32" s="16"/>
      <c r="N32" s="16">
        <v>30965</v>
      </c>
      <c r="O32" s="18">
        <f>N32*O6</f>
        <v>14491.62</v>
      </c>
      <c r="P32" s="132">
        <v>360000</v>
      </c>
      <c r="Q32" s="137">
        <f>P32*Q6</f>
        <v>138.6</v>
      </c>
      <c r="R32" s="60">
        <f t="shared" si="4"/>
        <v>159823.7</v>
      </c>
      <c r="S32" s="60"/>
      <c r="T32" s="125"/>
      <c r="U32" s="125">
        <f>+R32+T32+S32</f>
        <v>159823.7</v>
      </c>
    </row>
    <row r="33" spans="1:21" ht="15.75">
      <c r="A33" s="32" t="s">
        <v>143</v>
      </c>
      <c r="B33" s="35"/>
      <c r="C33" s="35"/>
      <c r="D33" s="35"/>
      <c r="E33" s="142">
        <v>816289.7</v>
      </c>
      <c r="F33" s="25">
        <v>0</v>
      </c>
      <c r="G33" s="24"/>
      <c r="H33" s="25">
        <v>0</v>
      </c>
      <c r="I33" s="25">
        <v>0</v>
      </c>
      <c r="J33" s="25">
        <v>0</v>
      </c>
      <c r="K33" s="25"/>
      <c r="L33" s="16">
        <v>0</v>
      </c>
      <c r="M33" s="16"/>
      <c r="N33" s="16">
        <v>0</v>
      </c>
      <c r="O33" s="18"/>
      <c r="P33" s="132">
        <v>0</v>
      </c>
      <c r="Q33" s="137"/>
      <c r="R33" s="122">
        <f t="shared" si="4"/>
        <v>816289.7</v>
      </c>
      <c r="S33" s="60"/>
      <c r="T33" s="125"/>
      <c r="U33" s="123">
        <f>+R33+T33+S33</f>
        <v>816289.7</v>
      </c>
    </row>
    <row r="34" spans="1:21" ht="15.75">
      <c r="A34" s="32"/>
      <c r="B34" s="35"/>
      <c r="C34" s="35"/>
      <c r="D34" s="35"/>
      <c r="E34" s="75">
        <f>SUM(E29:E33)</f>
        <v>3480876.7</v>
      </c>
      <c r="F34" s="75">
        <f>SUM(F29:F33)</f>
        <v>7523317</v>
      </c>
      <c r="G34" s="75">
        <f>SUM(G29:G32)</f>
        <v>692145.164</v>
      </c>
      <c r="H34" s="75">
        <f>SUM(H29:H33)</f>
        <v>14981</v>
      </c>
      <c r="I34" s="75">
        <f>SUM(I29:I33)</f>
        <v>34122</v>
      </c>
      <c r="J34" s="75">
        <f>SUM(J29:J33)</f>
        <v>357894</v>
      </c>
      <c r="K34" s="75">
        <f>SUM(K29:K32)</f>
        <v>22618.900800000003</v>
      </c>
      <c r="L34" s="124">
        <f>SUM(L29:L33)</f>
        <v>3155322</v>
      </c>
      <c r="M34" s="124">
        <f>SUM(M29:M32)</f>
        <v>1538219.4749999999</v>
      </c>
      <c r="N34" s="124">
        <f>SUM(N29:N33)</f>
        <v>423000</v>
      </c>
      <c r="O34" s="124">
        <f>SUM(O29:O32)</f>
        <v>197964</v>
      </c>
      <c r="P34" s="75">
        <f>SUM(P29:P33)</f>
        <v>1432187647</v>
      </c>
      <c r="Q34" s="75">
        <f>SUM(Q29:Q32)</f>
        <v>551392.244095</v>
      </c>
      <c r="R34" s="70">
        <f t="shared" si="4"/>
        <v>6517338.483895</v>
      </c>
      <c r="S34" s="70"/>
      <c r="U34" s="106">
        <f>SUM(U29:U33)</f>
        <v>6682956.483895</v>
      </c>
    </row>
    <row r="35" spans="1:17" ht="15.75">
      <c r="A35" s="32"/>
      <c r="B35" s="35"/>
      <c r="C35" s="35"/>
      <c r="D35" s="35"/>
      <c r="E35" s="24"/>
      <c r="F35" s="25"/>
      <c r="G35" s="24"/>
      <c r="H35" s="25"/>
      <c r="I35" s="25"/>
      <c r="J35" s="25"/>
      <c r="K35" s="25"/>
      <c r="L35" s="16"/>
      <c r="M35" s="16"/>
      <c r="N35" s="16"/>
      <c r="O35" s="18"/>
      <c r="P35" s="25"/>
      <c r="Q35" s="24"/>
    </row>
    <row r="36" spans="1:21" ht="15.75">
      <c r="A36" s="32" t="s">
        <v>30</v>
      </c>
      <c r="B36" s="35"/>
      <c r="C36" s="35"/>
      <c r="D36" s="35"/>
      <c r="E36" s="25">
        <f aca="true" t="shared" si="5" ref="E36:Q36">E26-E34</f>
        <v>16267989.430000003</v>
      </c>
      <c r="F36" s="25">
        <f t="shared" si="5"/>
        <v>33174190</v>
      </c>
      <c r="G36" s="25">
        <f t="shared" si="5"/>
        <v>3052025.48</v>
      </c>
      <c r="H36" s="24">
        <f t="shared" si="5"/>
        <v>57214</v>
      </c>
      <c r="I36" s="24">
        <f t="shared" si="5"/>
        <v>130324</v>
      </c>
      <c r="J36" s="25">
        <f t="shared" si="5"/>
        <v>6360939</v>
      </c>
      <c r="K36" s="25">
        <f t="shared" si="5"/>
        <v>402011.3448</v>
      </c>
      <c r="L36" s="16">
        <f t="shared" si="5"/>
        <v>4025286</v>
      </c>
      <c r="M36" s="16">
        <f t="shared" si="5"/>
        <v>1962326.9249999996</v>
      </c>
      <c r="N36" s="16">
        <f t="shared" si="5"/>
        <v>3096078</v>
      </c>
      <c r="O36" s="16">
        <f t="shared" si="5"/>
        <v>1448964.5040000002</v>
      </c>
      <c r="P36" s="25">
        <f t="shared" si="5"/>
        <v>5720307799</v>
      </c>
      <c r="Q36" s="25">
        <f t="shared" si="5"/>
        <v>2202318.5026149997</v>
      </c>
      <c r="R36" s="70">
        <f>Q36+O36+M36+K36+I36+G36+E36</f>
        <v>25465960.186415</v>
      </c>
      <c r="S36" s="70"/>
      <c r="U36" s="106">
        <f>U26-U34</f>
        <v>25308952.186414998</v>
      </c>
    </row>
    <row r="37" spans="1:17" ht="15.75">
      <c r="A37" s="32"/>
      <c r="B37" s="35"/>
      <c r="C37" s="35"/>
      <c r="D37" s="35"/>
      <c r="E37" s="25"/>
      <c r="F37" s="25"/>
      <c r="G37" s="24"/>
      <c r="H37" s="25"/>
      <c r="I37" s="25"/>
      <c r="J37" s="25"/>
      <c r="K37" s="25"/>
      <c r="L37" s="16"/>
      <c r="M37" s="16"/>
      <c r="N37" s="16"/>
      <c r="O37" s="18"/>
      <c r="P37" s="25"/>
      <c r="Q37" s="24"/>
    </row>
    <row r="38" spans="1:21" ht="16.5" thickBot="1">
      <c r="A38" s="32"/>
      <c r="B38" s="35"/>
      <c r="C38" s="35"/>
      <c r="D38" s="35"/>
      <c r="E38" s="97">
        <f aca="true" t="shared" si="6" ref="E38:Q38">E20+E36</f>
        <v>60552146.43000001</v>
      </c>
      <c r="F38" s="97">
        <f t="shared" si="6"/>
        <v>38682444</v>
      </c>
      <c r="G38" s="97">
        <f t="shared" si="6"/>
        <v>3558784.8479999998</v>
      </c>
      <c r="H38" s="97">
        <f t="shared" si="6"/>
        <v>-335221</v>
      </c>
      <c r="I38" s="97">
        <f t="shared" si="6"/>
        <v>-763564</v>
      </c>
      <c r="J38" s="97">
        <f t="shared" si="6"/>
        <v>2325803</v>
      </c>
      <c r="K38" s="97">
        <f t="shared" si="6"/>
        <v>146990.74959999998</v>
      </c>
      <c r="L38" s="23">
        <f t="shared" si="6"/>
        <v>4413188</v>
      </c>
      <c r="M38" s="23">
        <f t="shared" si="6"/>
        <v>2150786.7749999994</v>
      </c>
      <c r="N38" s="23">
        <f t="shared" si="6"/>
        <v>-801680</v>
      </c>
      <c r="O38" s="23">
        <f t="shared" si="6"/>
        <v>-375186.24</v>
      </c>
      <c r="P38" s="97">
        <f t="shared" si="6"/>
        <v>5673523665</v>
      </c>
      <c r="Q38" s="97">
        <f t="shared" si="6"/>
        <v>2184306.6110249995</v>
      </c>
      <c r="R38" s="126">
        <f>Q38+O38+M38+K38+I38+G38+E38</f>
        <v>67454265.173625</v>
      </c>
      <c r="S38" s="60"/>
      <c r="U38" s="127">
        <f>U20+U36</f>
        <v>44724808.17362499</v>
      </c>
    </row>
    <row r="39" spans="1:17" ht="16.5" thickTop="1">
      <c r="A39" s="32"/>
      <c r="B39" s="35"/>
      <c r="C39" s="35"/>
      <c r="D39" s="35"/>
      <c r="E39" s="24"/>
      <c r="F39" s="25"/>
      <c r="G39" s="24"/>
      <c r="H39" s="25"/>
      <c r="I39" s="25"/>
      <c r="J39" s="25"/>
      <c r="K39" s="25"/>
      <c r="L39" s="16"/>
      <c r="M39" s="16"/>
      <c r="N39" s="16"/>
      <c r="O39" s="18"/>
      <c r="P39" s="25"/>
      <c r="Q39" s="24"/>
    </row>
    <row r="40" spans="1:17" ht="15.75">
      <c r="A40" s="32" t="s">
        <v>45</v>
      </c>
      <c r="B40" s="35"/>
      <c r="C40" s="35"/>
      <c r="D40" s="35"/>
      <c r="E40" s="24"/>
      <c r="F40" s="25"/>
      <c r="G40" s="24"/>
      <c r="H40" s="25"/>
      <c r="I40" s="25"/>
      <c r="J40" s="25"/>
      <c r="K40" s="25"/>
      <c r="L40" s="16"/>
      <c r="M40" s="16"/>
      <c r="N40" s="16"/>
      <c r="O40" s="18"/>
      <c r="P40" s="25"/>
      <c r="Q40" s="24"/>
    </row>
    <row r="41" spans="1:21" ht="15.75">
      <c r="A41" s="88" t="s">
        <v>43</v>
      </c>
      <c r="B41" s="17"/>
      <c r="C41" s="17"/>
      <c r="D41" s="17"/>
      <c r="E41" s="24">
        <v>16345794</v>
      </c>
      <c r="F41" s="16">
        <v>35000000</v>
      </c>
      <c r="G41" s="128">
        <v>3331946</v>
      </c>
      <c r="H41" s="25">
        <v>2</v>
      </c>
      <c r="I41" s="25">
        <v>5</v>
      </c>
      <c r="J41" s="25">
        <v>9000000</v>
      </c>
      <c r="K41" s="129">
        <v>577204</v>
      </c>
      <c r="L41" s="16">
        <v>5789474</v>
      </c>
      <c r="M41" s="16">
        <v>2813215</v>
      </c>
      <c r="N41" s="16">
        <v>2656939</v>
      </c>
      <c r="O41" s="128">
        <v>1219839</v>
      </c>
      <c r="P41" s="25">
        <v>930000000</v>
      </c>
      <c r="Q41" s="128">
        <v>368480</v>
      </c>
      <c r="R41" s="70">
        <f aca="true" t="shared" si="7" ref="R41:R52">Q41+O41+M41+K41+I41+G41+E41</f>
        <v>24656483</v>
      </c>
      <c r="S41" s="70">
        <v>-632480</v>
      </c>
      <c r="T41" s="106">
        <v>-7678209</v>
      </c>
      <c r="U41" s="106">
        <f aca="true" t="shared" si="8" ref="U41:U46">+R41+T41+S41</f>
        <v>16345794</v>
      </c>
    </row>
    <row r="42" spans="1:21" ht="15.75">
      <c r="A42" s="88" t="s">
        <v>44</v>
      </c>
      <c r="B42" s="17"/>
      <c r="C42" s="17"/>
      <c r="D42" s="17"/>
      <c r="E42" s="24">
        <v>2340179</v>
      </c>
      <c r="F42" s="16">
        <v>0</v>
      </c>
      <c r="G42" s="24">
        <f>F42*F6</f>
        <v>0</v>
      </c>
      <c r="H42" s="25">
        <v>0</v>
      </c>
      <c r="I42" s="25">
        <v>0</v>
      </c>
      <c r="J42" s="25">
        <v>0</v>
      </c>
      <c r="K42" s="25">
        <f>J42*J6</f>
        <v>0</v>
      </c>
      <c r="L42" s="16">
        <v>5210528</v>
      </c>
      <c r="M42" s="16">
        <v>2526932</v>
      </c>
      <c r="N42" s="16">
        <v>0</v>
      </c>
      <c r="O42" s="18"/>
      <c r="P42" s="25">
        <v>0</v>
      </c>
      <c r="Q42" s="24"/>
      <c r="R42" s="70">
        <f t="shared" si="7"/>
        <v>4867111</v>
      </c>
      <c r="S42" s="70"/>
      <c r="T42" s="106">
        <v>-2526932</v>
      </c>
      <c r="U42" s="106">
        <f t="shared" si="8"/>
        <v>2340179</v>
      </c>
    </row>
    <row r="43" spans="1:21" ht="15.75">
      <c r="A43" s="88" t="s">
        <v>136</v>
      </c>
      <c r="B43" s="17"/>
      <c r="C43" s="17"/>
      <c r="D43" s="17"/>
      <c r="E43" s="24">
        <v>16074240</v>
      </c>
      <c r="F43" s="16">
        <v>0</v>
      </c>
      <c r="G43" s="24">
        <v>0</v>
      </c>
      <c r="H43" s="25">
        <v>0</v>
      </c>
      <c r="I43" s="25">
        <v>0</v>
      </c>
      <c r="J43" s="25">
        <v>0</v>
      </c>
      <c r="K43" s="25">
        <f>J43*J6</f>
        <v>0</v>
      </c>
      <c r="L43" s="16">
        <v>0</v>
      </c>
      <c r="M43" s="16">
        <v>0</v>
      </c>
      <c r="N43" s="16">
        <v>0</v>
      </c>
      <c r="O43" s="18">
        <f>N43*O6</f>
        <v>0</v>
      </c>
      <c r="P43" s="25">
        <v>0</v>
      </c>
      <c r="Q43" s="24">
        <f>P43*Q6</f>
        <v>0</v>
      </c>
      <c r="R43" s="70">
        <f t="shared" si="7"/>
        <v>16074240</v>
      </c>
      <c r="S43" s="70"/>
      <c r="T43" s="106">
        <v>-16074240</v>
      </c>
      <c r="U43" s="106">
        <f t="shared" si="8"/>
        <v>0</v>
      </c>
    </row>
    <row r="44" spans="1:22" ht="15.75">
      <c r="A44" s="88" t="s">
        <v>137</v>
      </c>
      <c r="B44" s="17"/>
      <c r="C44" s="17"/>
      <c r="D44" s="17"/>
      <c r="E44" s="24">
        <f>26815829.27+11000-1627819</f>
        <v>25199010.27</v>
      </c>
      <c r="F44" s="16">
        <f>G44/F6</f>
        <v>-8519130.43478261</v>
      </c>
      <c r="G44" s="128">
        <v>-783760</v>
      </c>
      <c r="H44" s="25">
        <f>I44/I6</f>
        <v>-236274.70311449698</v>
      </c>
      <c r="I44" s="129">
        <v>-527247</v>
      </c>
      <c r="J44" s="25">
        <f>K44/J6</f>
        <v>-4661376.582278481</v>
      </c>
      <c r="K44" s="129">
        <v>-294599</v>
      </c>
      <c r="L44" s="16">
        <v>-5049669</v>
      </c>
      <c r="M44" s="129">
        <v>-2453634</v>
      </c>
      <c r="N44" s="16">
        <v>-3192837</v>
      </c>
      <c r="O44" s="128">
        <v>-1484669</v>
      </c>
      <c r="P44" s="25">
        <v>6680464481</v>
      </c>
      <c r="Q44" s="128">
        <v>2445050</v>
      </c>
      <c r="R44" s="70">
        <f t="shared" si="7"/>
        <v>22100151.27</v>
      </c>
      <c r="S44" s="70">
        <v>800</v>
      </c>
      <c r="T44" s="106">
        <v>2756037</v>
      </c>
      <c r="U44" s="106">
        <f t="shared" si="8"/>
        <v>24856988.27</v>
      </c>
      <c r="V44" s="130">
        <f>U44+U45</f>
        <v>24647737.989524998</v>
      </c>
    </row>
    <row r="45" spans="1:22" ht="15.75">
      <c r="A45" s="88" t="s">
        <v>138</v>
      </c>
      <c r="B45" s="35"/>
      <c r="C45" s="35"/>
      <c r="D45" s="35"/>
      <c r="E45" s="24">
        <f>488073+921142-816289.7</f>
        <v>592925.3</v>
      </c>
      <c r="F45" s="25">
        <f>8922857+3254378</f>
        <v>12177235</v>
      </c>
      <c r="G45" s="24">
        <f>F45*F6</f>
        <v>1120305.6199999999</v>
      </c>
      <c r="H45" s="25">
        <f>-24289-78259</f>
        <v>-102548</v>
      </c>
      <c r="I45" s="25">
        <f>H45*I6</f>
        <v>-228835.862</v>
      </c>
      <c r="J45" s="25">
        <f>52418-2502300</f>
        <v>-2449882</v>
      </c>
      <c r="K45" s="25">
        <f>J45*J6</f>
        <v>-154832.5424</v>
      </c>
      <c r="L45" s="16">
        <f>-370959-1178784</f>
        <v>-1549743</v>
      </c>
      <c r="M45" s="16">
        <f>L45*M6</f>
        <v>-755499.7125</v>
      </c>
      <c r="N45" s="16">
        <f>333679-557612</f>
        <v>-223933</v>
      </c>
      <c r="O45" s="18">
        <f>N45*O6</f>
        <v>-104800.644</v>
      </c>
      <c r="P45" s="25">
        <f>-756668913-576778982</f>
        <v>-1333447895</v>
      </c>
      <c r="Q45" s="24">
        <f>P45*Q6</f>
        <v>-513377.43957499997</v>
      </c>
      <c r="R45" s="70">
        <f t="shared" si="7"/>
        <v>-44115.28047499992</v>
      </c>
      <c r="S45" s="30">
        <f>7810-172945</f>
        <v>-165135</v>
      </c>
      <c r="U45" s="106">
        <f t="shared" si="8"/>
        <v>-209250.28047499992</v>
      </c>
      <c r="V45" s="130"/>
    </row>
    <row r="46" spans="1:22" ht="15.75">
      <c r="A46" s="88" t="s">
        <v>73</v>
      </c>
      <c r="B46" s="35"/>
      <c r="C46" s="35"/>
      <c r="D46" s="35"/>
      <c r="E46" s="142">
        <f aca="true" t="shared" si="9" ref="E46:Q46">E47-(E41+E42+E43+E44+E45)</f>
        <v>-2.5699999928474426</v>
      </c>
      <c r="F46" s="24">
        <f t="shared" si="9"/>
        <v>24339.434782609344</v>
      </c>
      <c r="G46" s="24">
        <f t="shared" si="9"/>
        <v>-109706.62000000011</v>
      </c>
      <c r="H46" s="24">
        <f t="shared" si="9"/>
        <v>3599.7031144970097</v>
      </c>
      <c r="I46" s="144">
        <f t="shared" si="9"/>
        <v>-7486.138000000035</v>
      </c>
      <c r="J46" s="24">
        <f t="shared" si="9"/>
        <v>58272.58227848075</v>
      </c>
      <c r="K46" s="24">
        <f t="shared" si="9"/>
        <v>-4721.172800000015</v>
      </c>
      <c r="L46" s="18">
        <f t="shared" si="9"/>
        <v>12598</v>
      </c>
      <c r="M46" s="18">
        <f t="shared" si="9"/>
        <v>19773.712499999907</v>
      </c>
      <c r="N46" s="18">
        <f t="shared" si="9"/>
        <v>-41849</v>
      </c>
      <c r="O46" s="18">
        <f t="shared" si="9"/>
        <v>-5555.356000000029</v>
      </c>
      <c r="P46" s="24">
        <f t="shared" si="9"/>
        <v>-603492921</v>
      </c>
      <c r="Q46" s="24">
        <f t="shared" si="9"/>
        <v>-115845.56042500027</v>
      </c>
      <c r="R46" s="122">
        <f t="shared" si="7"/>
        <v>-223543.70472499338</v>
      </c>
      <c r="S46" s="60">
        <v>-4011</v>
      </c>
      <c r="T46" s="106">
        <f>16306</f>
        <v>16306</v>
      </c>
      <c r="U46" s="106">
        <f t="shared" si="8"/>
        <v>-211248.70472499338</v>
      </c>
      <c r="V46" s="131"/>
    </row>
    <row r="47" spans="1:21" ht="15.75">
      <c r="A47" s="88"/>
      <c r="B47" s="35"/>
      <c r="C47" s="35"/>
      <c r="D47" s="35"/>
      <c r="E47" s="124">
        <v>60552146</v>
      </c>
      <c r="F47" s="75">
        <v>38682444</v>
      </c>
      <c r="G47" s="75">
        <v>3558785</v>
      </c>
      <c r="H47" s="75">
        <v>-335221</v>
      </c>
      <c r="I47" s="75">
        <v>-763564</v>
      </c>
      <c r="J47" s="75">
        <v>1947014</v>
      </c>
      <c r="K47" s="75">
        <f>K38-K50</f>
        <v>123051.28479999998</v>
      </c>
      <c r="L47" s="124">
        <v>4413188</v>
      </c>
      <c r="M47" s="124">
        <v>2150787</v>
      </c>
      <c r="N47" s="124">
        <v>-801680</v>
      </c>
      <c r="O47" s="124">
        <v>-375186</v>
      </c>
      <c r="P47" s="75">
        <v>5673523665</v>
      </c>
      <c r="Q47" s="75">
        <v>2184307</v>
      </c>
      <c r="R47" s="70">
        <f t="shared" si="7"/>
        <v>67430326.2848</v>
      </c>
      <c r="S47" s="70"/>
      <c r="U47" s="106">
        <f>SUM(U41:U46)</f>
        <v>43122462.28480001</v>
      </c>
    </row>
    <row r="48" spans="1:21" ht="15.75">
      <c r="A48" s="88" t="s">
        <v>72</v>
      </c>
      <c r="B48" s="35"/>
      <c r="C48" s="35"/>
      <c r="D48" s="35"/>
      <c r="E48" s="24">
        <v>0</v>
      </c>
      <c r="F48" s="25">
        <v>0</v>
      </c>
      <c r="G48" s="24">
        <f>F48*F6</f>
        <v>0</v>
      </c>
      <c r="H48" s="25">
        <v>0</v>
      </c>
      <c r="I48" s="25">
        <f>H48*$I$60</f>
        <v>0</v>
      </c>
      <c r="J48" s="25">
        <v>0</v>
      </c>
      <c r="K48" s="25">
        <f>J48*J6</f>
        <v>0</v>
      </c>
      <c r="L48" s="16"/>
      <c r="M48" s="16"/>
      <c r="N48" s="16">
        <v>0</v>
      </c>
      <c r="O48" s="18">
        <f>N48*O6</f>
        <v>0</v>
      </c>
      <c r="P48" s="25">
        <v>0</v>
      </c>
      <c r="Q48" s="24">
        <f>P48*Q6</f>
        <v>0</v>
      </c>
      <c r="R48" s="122">
        <f t="shared" si="7"/>
        <v>0</v>
      </c>
      <c r="S48" s="139">
        <f>183760+192208-19263</f>
        <v>356705</v>
      </c>
      <c r="T48" s="106">
        <v>1221702</v>
      </c>
      <c r="U48" s="123">
        <f>+R48+T48+S48</f>
        <v>1578407</v>
      </c>
    </row>
    <row r="49" spans="1:21" ht="15.75">
      <c r="A49" s="32"/>
      <c r="B49" s="35"/>
      <c r="C49" s="35"/>
      <c r="D49" s="35"/>
      <c r="E49" s="75">
        <f aca="true" t="shared" si="10" ref="E49:Q49">E47-E48</f>
        <v>60552146</v>
      </c>
      <c r="F49" s="75">
        <f t="shared" si="10"/>
        <v>38682444</v>
      </c>
      <c r="G49" s="75">
        <f t="shared" si="10"/>
        <v>3558785</v>
      </c>
      <c r="H49" s="75">
        <f t="shared" si="10"/>
        <v>-335221</v>
      </c>
      <c r="I49" s="75">
        <f t="shared" si="10"/>
        <v>-763564</v>
      </c>
      <c r="J49" s="75">
        <f t="shared" si="10"/>
        <v>1947014</v>
      </c>
      <c r="K49" s="75">
        <f t="shared" si="10"/>
        <v>123051.28479999998</v>
      </c>
      <c r="L49" s="124">
        <f t="shared" si="10"/>
        <v>4413188</v>
      </c>
      <c r="M49" s="124">
        <f t="shared" si="10"/>
        <v>2150787</v>
      </c>
      <c r="N49" s="124">
        <f t="shared" si="10"/>
        <v>-801680</v>
      </c>
      <c r="O49" s="124">
        <f t="shared" si="10"/>
        <v>-375186</v>
      </c>
      <c r="P49" s="75">
        <f t="shared" si="10"/>
        <v>5673523665</v>
      </c>
      <c r="Q49" s="75">
        <f t="shared" si="10"/>
        <v>2184307</v>
      </c>
      <c r="R49" s="70">
        <f t="shared" si="7"/>
        <v>67430326.2848</v>
      </c>
      <c r="S49" s="70"/>
      <c r="U49" s="106">
        <f>SUM(U47:U48)</f>
        <v>44700869.28480001</v>
      </c>
    </row>
    <row r="50" spans="1:21" ht="15.75">
      <c r="A50" s="32" t="s">
        <v>139</v>
      </c>
      <c r="B50" s="35"/>
      <c r="C50" s="35"/>
      <c r="D50" s="35"/>
      <c r="E50" s="25">
        <v>0</v>
      </c>
      <c r="F50" s="25">
        <v>0</v>
      </c>
      <c r="G50" s="24">
        <f>F50*F6</f>
        <v>0</v>
      </c>
      <c r="H50" s="24">
        <v>0</v>
      </c>
      <c r="I50" s="25">
        <f>H50*I6</f>
        <v>0</v>
      </c>
      <c r="J50" s="141">
        <v>378789</v>
      </c>
      <c r="K50" s="25">
        <f>J50*J6</f>
        <v>23939.4648</v>
      </c>
      <c r="L50" s="16"/>
      <c r="M50" s="16"/>
      <c r="N50" s="16">
        <v>0</v>
      </c>
      <c r="O50" s="18">
        <f>N50*O6</f>
        <v>0</v>
      </c>
      <c r="P50" s="25">
        <v>0</v>
      </c>
      <c r="Q50" s="24">
        <f>P50*Q6</f>
        <v>0</v>
      </c>
      <c r="R50" s="70">
        <f t="shared" si="7"/>
        <v>23939.4648</v>
      </c>
      <c r="S50" s="70"/>
      <c r="U50" s="106">
        <f>+R50+T50</f>
        <v>23939.4648</v>
      </c>
    </row>
    <row r="51" spans="1:21" ht="15.75">
      <c r="A51" s="32" t="s">
        <v>140</v>
      </c>
      <c r="B51" s="35"/>
      <c r="C51" s="35"/>
      <c r="D51" s="35"/>
      <c r="E51" s="25">
        <v>0</v>
      </c>
      <c r="F51" s="25">
        <v>0</v>
      </c>
      <c r="G51" s="24">
        <f>F51*F6</f>
        <v>0</v>
      </c>
      <c r="H51" s="25">
        <v>0</v>
      </c>
      <c r="I51" s="25">
        <f>H51*I6</f>
        <v>0</v>
      </c>
      <c r="J51" s="25">
        <v>0</v>
      </c>
      <c r="K51" s="25">
        <f>J51*J6</f>
        <v>0</v>
      </c>
      <c r="L51" s="16"/>
      <c r="M51" s="16"/>
      <c r="N51" s="16">
        <v>0</v>
      </c>
      <c r="O51" s="18">
        <f>N51*O6</f>
        <v>0</v>
      </c>
      <c r="P51" s="25">
        <v>0</v>
      </c>
      <c r="Q51" s="24">
        <f>P51*Q6</f>
        <v>0</v>
      </c>
      <c r="R51" s="70">
        <f t="shared" si="7"/>
        <v>0</v>
      </c>
      <c r="S51" s="70"/>
      <c r="U51" s="106">
        <f>+R51+T51</f>
        <v>0</v>
      </c>
    </row>
    <row r="52" spans="1:21" ht="16.5" thickBot="1">
      <c r="A52" s="35"/>
      <c r="B52" s="35"/>
      <c r="C52" s="35"/>
      <c r="D52" s="35"/>
      <c r="E52" s="97">
        <f aca="true" t="shared" si="11" ref="E52:Q52">SUM(E49:E51)</f>
        <v>60552146</v>
      </c>
      <c r="F52" s="97">
        <f t="shared" si="11"/>
        <v>38682444</v>
      </c>
      <c r="G52" s="97">
        <f t="shared" si="11"/>
        <v>3558785</v>
      </c>
      <c r="H52" s="97">
        <f t="shared" si="11"/>
        <v>-335221</v>
      </c>
      <c r="I52" s="97">
        <f t="shared" si="11"/>
        <v>-763564</v>
      </c>
      <c r="J52" s="97">
        <f t="shared" si="11"/>
        <v>2325803</v>
      </c>
      <c r="K52" s="97">
        <f t="shared" si="11"/>
        <v>146990.74959999998</v>
      </c>
      <c r="L52" s="23">
        <f t="shared" si="11"/>
        <v>4413188</v>
      </c>
      <c r="M52" s="23">
        <f t="shared" si="11"/>
        <v>2150787</v>
      </c>
      <c r="N52" s="23">
        <f t="shared" si="11"/>
        <v>-801680</v>
      </c>
      <c r="O52" s="23">
        <f t="shared" si="11"/>
        <v>-375186</v>
      </c>
      <c r="P52" s="97">
        <f t="shared" si="11"/>
        <v>5673523665</v>
      </c>
      <c r="Q52" s="97">
        <f t="shared" si="11"/>
        <v>2184307</v>
      </c>
      <c r="R52" s="126">
        <f t="shared" si="7"/>
        <v>67454265.7496</v>
      </c>
      <c r="S52" s="60">
        <f>SUM(S9:S51)</f>
        <v>-557006</v>
      </c>
      <c r="T52" s="106">
        <f>SUM(T9:T51)</f>
        <v>-44570672</v>
      </c>
      <c r="U52" s="127">
        <f>SUM(U49:U51)</f>
        <v>44724808.74960001</v>
      </c>
    </row>
    <row r="53" spans="1:18" ht="16.5" thickTop="1">
      <c r="A53" s="35"/>
      <c r="B53" s="35"/>
      <c r="C53" s="35"/>
      <c r="D53" s="35"/>
      <c r="E53" s="24"/>
      <c r="P53" s="25"/>
      <c r="Q53" s="24"/>
      <c r="R53" s="70">
        <f>R38-R52</f>
        <v>-0.5759749859571457</v>
      </c>
    </row>
    <row r="54" ht="15.75">
      <c r="Q54" s="145"/>
    </row>
  </sheetData>
  <mergeCells count="6">
    <mergeCell ref="P7:Q7"/>
    <mergeCell ref="L7:M7"/>
    <mergeCell ref="F7:G7"/>
    <mergeCell ref="J7:K7"/>
    <mergeCell ref="H7:I7"/>
    <mergeCell ref="N7:O7"/>
  </mergeCells>
  <printOptions/>
  <pageMargins left="0.25" right="0.17" top="0.26" bottom="0.23" header="0.17" footer="0.19"/>
  <pageSetup horizontalDpi="600" verticalDpi="600" orientation="landscape" scale="5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LIM</cp:lastModifiedBy>
  <cp:lastPrinted>2006-08-25T07:35:38Z</cp:lastPrinted>
  <dcterms:created xsi:type="dcterms:W3CDTF">1999-09-28T02:28:44Z</dcterms:created>
  <dcterms:modified xsi:type="dcterms:W3CDTF">2006-08-28T09:07:56Z</dcterms:modified>
  <cp:category/>
  <cp:version/>
  <cp:contentType/>
  <cp:contentStatus/>
</cp:coreProperties>
</file>